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trlProps/ctrlProp7.xml" ContentType="application/vnd.ms-excel.controlproperties+xml"/>
  <Override PartName="/xl/ctrlProps/ctrlProp8.xml" ContentType="application/vnd.ms-excel.controlproperti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trlProps/ctrlProp12.xml" ContentType="application/vnd.ms-excel.controlproperties+xml"/>
  <Override PartName="/xl/ctrlProps/ctrlProp13.xml" ContentType="application/vnd.ms-excel.controlproperti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cynth\Dropbox\HC-SUAP\2b - Addressing Gaps\CCHS\web-versions\"/>
    </mc:Choice>
  </mc:AlternateContent>
  <xr:revisionPtr revIDLastSave="0" documentId="13_ncr:1_{705CEEDF-5FAA-4068-A926-EA9E46A9F701}" xr6:coauthVersionLast="46" xr6:coauthVersionMax="46" xr10:uidLastSave="{00000000-0000-0000-0000-000000000000}"/>
  <bookViews>
    <workbookView xWindow="32265" yWindow="2295" windowWidth="24540" windowHeight="13230" xr2:uid="{00000000-000D-0000-FFFF-FFFF00000000}"/>
  </bookViews>
  <sheets>
    <sheet name="README" sheetId="34" r:id="rId1"/>
    <sheet name="Table 1" sheetId="22" r:id="rId2"/>
    <sheet name="Table 2" sheetId="35" r:id="rId3"/>
    <sheet name="Table 3" sheetId="23" r:id="rId4"/>
    <sheet name="Table 4" sheetId="33" r:id="rId5"/>
  </sheets>
  <definedNames>
    <definedName name="_xlnm._FilterDatabase" localSheetId="1" hidden="1">'Table 1'!$C$111:$BI$635</definedName>
    <definedName name="_xlnm._FilterDatabase" localSheetId="2" hidden="1">'Table 2'!$C$115:$BI$639</definedName>
    <definedName name="behaviour">'Table 1'!$B$28:$B$32</definedName>
    <definedName name="behaviour2" localSheetId="4">'Table 4'!$B$28:$B$32</definedName>
    <definedName name="behaviour2">'Table 3'!$B$28:$B$32</definedName>
    <definedName name="behaviour2value" localSheetId="4">'Table 4'!$B$33</definedName>
    <definedName name="behaviour2value">'Table 3'!$B$33</definedName>
    <definedName name="behaviour2value2" localSheetId="4">'Table 4'!$B$40</definedName>
    <definedName name="behaviour2value2">'Table 3'!$B$40</definedName>
    <definedName name="behaviour2value3">#REF!</definedName>
    <definedName name="behavioura">'Table 1'!$B$36</definedName>
    <definedName name="behaviouraz" localSheetId="2">'Table 2'!$B$35</definedName>
    <definedName name="behaviourb">'Table 1'!$B$37</definedName>
    <definedName name="behaviourbz" localSheetId="2">'Table 2'!$B$36</definedName>
    <definedName name="behaviourvaluea">'Table 1'!$B$58</definedName>
    <definedName name="behaviourvalueaz" localSheetId="2">'Table 2'!$B$54</definedName>
    <definedName name="behaviourvalueb">'Table 1'!$B$59</definedName>
    <definedName name="behaviourvaluebz" localSheetId="2">'Table 2'!$B$55</definedName>
    <definedName name="behaviourz" localSheetId="2">'Table 2'!$B$28:$B$32</definedName>
    <definedName name="Cycleb" localSheetId="4">'Table 4'!$B$15:$B$23</definedName>
    <definedName name="Cycleb">'Table 3'!$B$16:$B$24</definedName>
    <definedName name="cyclevalue" localSheetId="4">'Table 4'!$B$24</definedName>
    <definedName name="cyclevalue">'Table 3'!$B$25</definedName>
    <definedName name="cyclevalue2" localSheetId="4">'Table 4'!$B$38</definedName>
    <definedName name="cyclevalue2">'Table 3'!$B$38</definedName>
    <definedName name="population">'Table 1'!$B$3:$B$10</definedName>
    <definedName name="population2" localSheetId="4">'Table 4'!$B$4:$B$11</definedName>
    <definedName name="population2">'Table 3'!$B$4:$B$11</definedName>
    <definedName name="population2value" localSheetId="4">'Table 4'!$B$12</definedName>
    <definedName name="population2value">'Table 3'!$B$12</definedName>
    <definedName name="population2value2" localSheetId="4">'Table 4'!$B$36</definedName>
    <definedName name="population2value2">'Table 3'!$B$36</definedName>
    <definedName name="populationa" localSheetId="2">'Table 2'!$B$11</definedName>
    <definedName name="populationa">'Table 1'!$B$11</definedName>
    <definedName name="populationb" localSheetId="2">'Table 2'!$B$12</definedName>
    <definedName name="populationb">'Table 1'!$B$12</definedName>
    <definedName name="populationvaluea" localSheetId="2">'Table 2'!$B$41</definedName>
    <definedName name="populationvaluea">'Table 1'!$B$42</definedName>
    <definedName name="populationvalueb" localSheetId="2">'Table 2'!$B$42</definedName>
    <definedName name="populationvalueb">'Table 1'!$B$47</definedName>
    <definedName name="populationz" localSheetId="2">'Table 2'!$B$3:$B$10</definedName>
    <definedName name="province">'Table 1'!$B$14:$B$24</definedName>
    <definedName name="Provincea" localSheetId="2">'Table 2'!$B$25</definedName>
    <definedName name="Provincea">'Table 1'!$B$25</definedName>
    <definedName name="provinceb" localSheetId="2">'Table 2'!$B$26</definedName>
    <definedName name="provinceb">'Table 1'!$B$26</definedName>
    <definedName name="provincevaluea" localSheetId="2">'Table 2'!$B$46</definedName>
    <definedName name="provincevaluea">'Table 1'!$B$51</definedName>
    <definedName name="provincevalueb" localSheetId="2">'Table 2'!$B$47</definedName>
    <definedName name="provincevalueb">'Table 1'!$B$52</definedName>
    <definedName name="provincez" localSheetId="2">'Table 2'!$B$14:$B$24</definedName>
    <definedName name="rangeprovince">'Table 1'!$H$113:$BK$622</definedName>
    <definedName name="rangeprovincez" localSheetId="2">'Table 2'!$H$117:$BK$626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98" i="35" l="1"/>
  <c r="U98" i="35"/>
  <c r="H98" i="35"/>
  <c r="W97" i="35"/>
  <c r="AW566" i="35"/>
  <c r="BH566" i="35" s="1"/>
  <c r="AV566" i="35"/>
  <c r="BG566" i="35" s="1"/>
  <c r="AU566" i="35"/>
  <c r="BF566" i="35" s="1"/>
  <c r="AT566" i="35"/>
  <c r="BE566" i="35" s="1"/>
  <c r="AS566" i="35"/>
  <c r="BD566" i="35" s="1"/>
  <c r="AR566" i="35"/>
  <c r="BC566" i="35" s="1"/>
  <c r="AQ566" i="35"/>
  <c r="BB566" i="35" s="1"/>
  <c r="AP566" i="35"/>
  <c r="BA566" i="35" s="1"/>
  <c r="AO566" i="35"/>
  <c r="AZ566" i="35" s="1"/>
  <c r="AL566" i="35"/>
  <c r="AK566" i="35"/>
  <c r="AJ566" i="35"/>
  <c r="AI566" i="35"/>
  <c r="AH566" i="35"/>
  <c r="AG566" i="35"/>
  <c r="AF566" i="35"/>
  <c r="AE566" i="35"/>
  <c r="AD566" i="35"/>
  <c r="AW565" i="35"/>
  <c r="BH565" i="35" s="1"/>
  <c r="AV565" i="35"/>
  <c r="BG565" i="35" s="1"/>
  <c r="AU565" i="35"/>
  <c r="BF565" i="35" s="1"/>
  <c r="AT565" i="35"/>
  <c r="BE565" i="35" s="1"/>
  <c r="AS565" i="35"/>
  <c r="BD565" i="35" s="1"/>
  <c r="AR565" i="35"/>
  <c r="BC565" i="35" s="1"/>
  <c r="AQ565" i="35"/>
  <c r="BB565" i="35" s="1"/>
  <c r="AP565" i="35"/>
  <c r="BA565" i="35" s="1"/>
  <c r="AO565" i="35"/>
  <c r="AZ565" i="35" s="1"/>
  <c r="AL565" i="35"/>
  <c r="AK565" i="35"/>
  <c r="AJ565" i="35"/>
  <c r="AI565" i="35"/>
  <c r="AH565" i="35"/>
  <c r="AG565" i="35"/>
  <c r="AF565" i="35"/>
  <c r="AE565" i="35"/>
  <c r="AD565" i="35"/>
  <c r="AW564" i="35"/>
  <c r="BH564" i="35" s="1"/>
  <c r="AV564" i="35"/>
  <c r="BG564" i="35" s="1"/>
  <c r="AU564" i="35"/>
  <c r="BF564" i="35" s="1"/>
  <c r="AT564" i="35"/>
  <c r="BE564" i="35" s="1"/>
  <c r="AS564" i="35"/>
  <c r="BD564" i="35" s="1"/>
  <c r="AR564" i="35"/>
  <c r="BC564" i="35" s="1"/>
  <c r="AQ564" i="35"/>
  <c r="BB564" i="35" s="1"/>
  <c r="AP564" i="35"/>
  <c r="BA564" i="35" s="1"/>
  <c r="AO564" i="35"/>
  <c r="AZ564" i="35" s="1"/>
  <c r="AL564" i="35"/>
  <c r="AK564" i="35"/>
  <c r="AJ564" i="35"/>
  <c r="AI564" i="35"/>
  <c r="AH564" i="35"/>
  <c r="AG564" i="35"/>
  <c r="AF564" i="35"/>
  <c r="AE564" i="35"/>
  <c r="AD564" i="35"/>
  <c r="AW563" i="35"/>
  <c r="BH563" i="35" s="1"/>
  <c r="AV563" i="35"/>
  <c r="BG563" i="35" s="1"/>
  <c r="AU563" i="35"/>
  <c r="BF563" i="35" s="1"/>
  <c r="AT563" i="35"/>
  <c r="BE563" i="35" s="1"/>
  <c r="AS563" i="35"/>
  <c r="BD563" i="35" s="1"/>
  <c r="AR563" i="35"/>
  <c r="BC563" i="35" s="1"/>
  <c r="AQ563" i="35"/>
  <c r="BB563" i="35" s="1"/>
  <c r="AP563" i="35"/>
  <c r="BA563" i="35" s="1"/>
  <c r="AO563" i="35"/>
  <c r="AZ563" i="35" s="1"/>
  <c r="AL563" i="35"/>
  <c r="AK563" i="35"/>
  <c r="AJ563" i="35"/>
  <c r="AI563" i="35"/>
  <c r="AH563" i="35"/>
  <c r="AG563" i="35"/>
  <c r="AF563" i="35"/>
  <c r="AE563" i="35"/>
  <c r="AD563" i="35"/>
  <c r="BF562" i="35"/>
  <c r="AW562" i="35"/>
  <c r="BH562" i="35" s="1"/>
  <c r="AV562" i="35"/>
  <c r="BG562" i="35" s="1"/>
  <c r="AU562" i="35"/>
  <c r="AT562" i="35"/>
  <c r="BE562" i="35" s="1"/>
  <c r="AS562" i="35"/>
  <c r="BD562" i="35" s="1"/>
  <c r="AR562" i="35"/>
  <c r="BC562" i="35" s="1"/>
  <c r="AQ562" i="35"/>
  <c r="BB562" i="35" s="1"/>
  <c r="AP562" i="35"/>
  <c r="BA562" i="35" s="1"/>
  <c r="AO562" i="35"/>
  <c r="AZ562" i="35" s="1"/>
  <c r="AL562" i="35"/>
  <c r="AK562" i="35"/>
  <c r="AJ562" i="35"/>
  <c r="AI562" i="35"/>
  <c r="AH562" i="35"/>
  <c r="AG562" i="35"/>
  <c r="AF562" i="35"/>
  <c r="AE562" i="35"/>
  <c r="AD562" i="35"/>
  <c r="AW561" i="35"/>
  <c r="BH561" i="35" s="1"/>
  <c r="AV561" i="35"/>
  <c r="BG561" i="35" s="1"/>
  <c r="AU561" i="35"/>
  <c r="BF561" i="35" s="1"/>
  <c r="AT561" i="35"/>
  <c r="BE561" i="35" s="1"/>
  <c r="AS561" i="35"/>
  <c r="BD561" i="35" s="1"/>
  <c r="AR561" i="35"/>
  <c r="BC561" i="35" s="1"/>
  <c r="AQ561" i="35"/>
  <c r="BB561" i="35" s="1"/>
  <c r="AP561" i="35"/>
  <c r="BA561" i="35" s="1"/>
  <c r="AO561" i="35"/>
  <c r="AZ561" i="35" s="1"/>
  <c r="AL561" i="35"/>
  <c r="AK561" i="35"/>
  <c r="AJ561" i="35"/>
  <c r="AI561" i="35"/>
  <c r="AH561" i="35"/>
  <c r="AG561" i="35"/>
  <c r="AF561" i="35"/>
  <c r="AE561" i="35"/>
  <c r="AD561" i="35"/>
  <c r="AW560" i="35"/>
  <c r="BH560" i="35" s="1"/>
  <c r="AV560" i="35"/>
  <c r="BG560" i="35" s="1"/>
  <c r="AU560" i="35"/>
  <c r="BF560" i="35" s="1"/>
  <c r="AT560" i="35"/>
  <c r="BE560" i="35" s="1"/>
  <c r="AS560" i="35"/>
  <c r="BD560" i="35" s="1"/>
  <c r="AR560" i="35"/>
  <c r="BC560" i="35" s="1"/>
  <c r="AQ560" i="35"/>
  <c r="BB560" i="35" s="1"/>
  <c r="AP560" i="35"/>
  <c r="BA560" i="35" s="1"/>
  <c r="AO560" i="35"/>
  <c r="AZ560" i="35" s="1"/>
  <c r="AL560" i="35"/>
  <c r="AK560" i="35"/>
  <c r="AJ560" i="35"/>
  <c r="AI560" i="35"/>
  <c r="AH560" i="35"/>
  <c r="AG560" i="35"/>
  <c r="AF560" i="35"/>
  <c r="AE560" i="35"/>
  <c r="AD560" i="35"/>
  <c r="AW559" i="35"/>
  <c r="BH559" i="35" s="1"/>
  <c r="AV559" i="35"/>
  <c r="BG559" i="35" s="1"/>
  <c r="AU559" i="35"/>
  <c r="BF559" i="35" s="1"/>
  <c r="AT559" i="35"/>
  <c r="BE559" i="35" s="1"/>
  <c r="AS559" i="35"/>
  <c r="BD559" i="35" s="1"/>
  <c r="AR559" i="35"/>
  <c r="BC559" i="35" s="1"/>
  <c r="AQ559" i="35"/>
  <c r="BB559" i="35" s="1"/>
  <c r="AP559" i="35"/>
  <c r="BA559" i="35" s="1"/>
  <c r="AO559" i="35"/>
  <c r="AZ559" i="35" s="1"/>
  <c r="AL559" i="35"/>
  <c r="AK559" i="35"/>
  <c r="AJ559" i="35"/>
  <c r="AI559" i="35"/>
  <c r="AH559" i="35"/>
  <c r="AG559" i="35"/>
  <c r="AF559" i="35"/>
  <c r="AE559" i="35"/>
  <c r="AD559" i="35"/>
  <c r="AW558" i="35"/>
  <c r="BH558" i="35" s="1"/>
  <c r="AV558" i="35"/>
  <c r="BG558" i="35" s="1"/>
  <c r="AU558" i="35"/>
  <c r="BF558" i="35" s="1"/>
  <c r="AT558" i="35"/>
  <c r="BE558" i="35" s="1"/>
  <c r="AS558" i="35"/>
  <c r="BD558" i="35" s="1"/>
  <c r="AR558" i="35"/>
  <c r="BC558" i="35" s="1"/>
  <c r="AQ558" i="35"/>
  <c r="BB558" i="35" s="1"/>
  <c r="AP558" i="35"/>
  <c r="BA558" i="35" s="1"/>
  <c r="AO558" i="35"/>
  <c r="AZ558" i="35" s="1"/>
  <c r="AL558" i="35"/>
  <c r="AK558" i="35"/>
  <c r="AJ558" i="35"/>
  <c r="AI558" i="35"/>
  <c r="AH558" i="35"/>
  <c r="AG558" i="35"/>
  <c r="AF558" i="35"/>
  <c r="AE558" i="35"/>
  <c r="AD558" i="35"/>
  <c r="AW557" i="35"/>
  <c r="BH557" i="35" s="1"/>
  <c r="AV557" i="35"/>
  <c r="BG557" i="35" s="1"/>
  <c r="AU557" i="35"/>
  <c r="BF557" i="35" s="1"/>
  <c r="AT557" i="35"/>
  <c r="BE557" i="35" s="1"/>
  <c r="AS557" i="35"/>
  <c r="BD557" i="35" s="1"/>
  <c r="AR557" i="35"/>
  <c r="BC557" i="35" s="1"/>
  <c r="AQ557" i="35"/>
  <c r="BB557" i="35" s="1"/>
  <c r="AP557" i="35"/>
  <c r="BA557" i="35" s="1"/>
  <c r="AO557" i="35"/>
  <c r="AZ557" i="35" s="1"/>
  <c r="AL557" i="35"/>
  <c r="AK557" i="35"/>
  <c r="AJ557" i="35"/>
  <c r="AI557" i="35"/>
  <c r="AH557" i="35"/>
  <c r="AG557" i="35"/>
  <c r="AF557" i="35"/>
  <c r="AE557" i="35"/>
  <c r="AD557" i="35"/>
  <c r="AW556" i="35"/>
  <c r="BH556" i="35" s="1"/>
  <c r="AV556" i="35"/>
  <c r="BG556" i="35" s="1"/>
  <c r="AU556" i="35"/>
  <c r="BF556" i="35" s="1"/>
  <c r="AT556" i="35"/>
  <c r="BE556" i="35" s="1"/>
  <c r="AS556" i="35"/>
  <c r="BD556" i="35" s="1"/>
  <c r="AR556" i="35"/>
  <c r="BC556" i="35" s="1"/>
  <c r="AQ556" i="35"/>
  <c r="BB556" i="35" s="1"/>
  <c r="AP556" i="35"/>
  <c r="BA556" i="35" s="1"/>
  <c r="AO556" i="35"/>
  <c r="AZ556" i="35" s="1"/>
  <c r="AL556" i="35"/>
  <c r="AK556" i="35"/>
  <c r="AJ556" i="35"/>
  <c r="AI556" i="35"/>
  <c r="AH556" i="35"/>
  <c r="AG556" i="35"/>
  <c r="AF556" i="35"/>
  <c r="AE556" i="35"/>
  <c r="AD556" i="35"/>
  <c r="AW555" i="35"/>
  <c r="BH555" i="35" s="1"/>
  <c r="AV555" i="35"/>
  <c r="BG555" i="35" s="1"/>
  <c r="AU555" i="35"/>
  <c r="BF555" i="35" s="1"/>
  <c r="AT555" i="35"/>
  <c r="BE555" i="35" s="1"/>
  <c r="AS555" i="35"/>
  <c r="BD555" i="35" s="1"/>
  <c r="AR555" i="35"/>
  <c r="BC555" i="35" s="1"/>
  <c r="AQ555" i="35"/>
  <c r="BB555" i="35" s="1"/>
  <c r="AP555" i="35"/>
  <c r="BA555" i="35" s="1"/>
  <c r="AO555" i="35"/>
  <c r="AZ555" i="35" s="1"/>
  <c r="AL555" i="35"/>
  <c r="AK555" i="35"/>
  <c r="AJ555" i="35"/>
  <c r="AI555" i="35"/>
  <c r="AH555" i="35"/>
  <c r="AG555" i="35"/>
  <c r="AF555" i="35"/>
  <c r="AE555" i="35"/>
  <c r="AD555" i="35"/>
  <c r="AW554" i="35"/>
  <c r="BH554" i="35" s="1"/>
  <c r="AV554" i="35"/>
  <c r="BG554" i="35" s="1"/>
  <c r="AU554" i="35"/>
  <c r="BF554" i="35" s="1"/>
  <c r="AT554" i="35"/>
  <c r="BE554" i="35" s="1"/>
  <c r="AS554" i="35"/>
  <c r="BD554" i="35" s="1"/>
  <c r="AR554" i="35"/>
  <c r="BC554" i="35" s="1"/>
  <c r="AQ554" i="35"/>
  <c r="BB554" i="35" s="1"/>
  <c r="AP554" i="35"/>
  <c r="BA554" i="35" s="1"/>
  <c r="AO554" i="35"/>
  <c r="AZ554" i="35" s="1"/>
  <c r="AL554" i="35"/>
  <c r="AK554" i="35"/>
  <c r="AJ554" i="35"/>
  <c r="AI554" i="35"/>
  <c r="AH554" i="35"/>
  <c r="AG554" i="35"/>
  <c r="AF554" i="35"/>
  <c r="AE554" i="35"/>
  <c r="AD554" i="35"/>
  <c r="AW553" i="35"/>
  <c r="BH553" i="35" s="1"/>
  <c r="AV553" i="35"/>
  <c r="BG553" i="35" s="1"/>
  <c r="AU553" i="35"/>
  <c r="BF553" i="35" s="1"/>
  <c r="AT553" i="35"/>
  <c r="BE553" i="35" s="1"/>
  <c r="AS553" i="35"/>
  <c r="BD553" i="35" s="1"/>
  <c r="AR553" i="35"/>
  <c r="BC553" i="35" s="1"/>
  <c r="AQ553" i="35"/>
  <c r="BB553" i="35" s="1"/>
  <c r="AP553" i="35"/>
  <c r="BA553" i="35" s="1"/>
  <c r="AO553" i="35"/>
  <c r="AZ553" i="35" s="1"/>
  <c r="AL553" i="35"/>
  <c r="AK553" i="35"/>
  <c r="AJ553" i="35"/>
  <c r="AI553" i="35"/>
  <c r="AH553" i="35"/>
  <c r="AG553" i="35"/>
  <c r="AF553" i="35"/>
  <c r="AE553" i="35"/>
  <c r="AD553" i="35"/>
  <c r="AW552" i="35"/>
  <c r="BH552" i="35" s="1"/>
  <c r="AV552" i="35"/>
  <c r="BG552" i="35" s="1"/>
  <c r="AU552" i="35"/>
  <c r="BF552" i="35" s="1"/>
  <c r="AT552" i="35"/>
  <c r="BE552" i="35" s="1"/>
  <c r="AS552" i="35"/>
  <c r="BD552" i="35" s="1"/>
  <c r="AR552" i="35"/>
  <c r="BC552" i="35" s="1"/>
  <c r="AQ552" i="35"/>
  <c r="BB552" i="35" s="1"/>
  <c r="AP552" i="35"/>
  <c r="BA552" i="35" s="1"/>
  <c r="AO552" i="35"/>
  <c r="AZ552" i="35" s="1"/>
  <c r="AL552" i="35"/>
  <c r="AK552" i="35"/>
  <c r="AJ552" i="35"/>
  <c r="AI552" i="35"/>
  <c r="AH552" i="35"/>
  <c r="AG552" i="35"/>
  <c r="AF552" i="35"/>
  <c r="AE552" i="35"/>
  <c r="AD552" i="35"/>
  <c r="AW551" i="35"/>
  <c r="BH551" i="35" s="1"/>
  <c r="AV551" i="35"/>
  <c r="BG551" i="35" s="1"/>
  <c r="AU551" i="35"/>
  <c r="BF551" i="35" s="1"/>
  <c r="AT551" i="35"/>
  <c r="BE551" i="35" s="1"/>
  <c r="AS551" i="35"/>
  <c r="BD551" i="35" s="1"/>
  <c r="AR551" i="35"/>
  <c r="BC551" i="35" s="1"/>
  <c r="AQ551" i="35"/>
  <c r="BB551" i="35" s="1"/>
  <c r="AP551" i="35"/>
  <c r="BA551" i="35" s="1"/>
  <c r="AO551" i="35"/>
  <c r="AZ551" i="35" s="1"/>
  <c r="AL551" i="35"/>
  <c r="AK551" i="35"/>
  <c r="AJ551" i="35"/>
  <c r="AI551" i="35"/>
  <c r="AH551" i="35"/>
  <c r="AG551" i="35"/>
  <c r="AF551" i="35"/>
  <c r="AE551" i="35"/>
  <c r="AD551" i="35"/>
  <c r="AW550" i="35"/>
  <c r="BH550" i="35" s="1"/>
  <c r="AV550" i="35"/>
  <c r="BG550" i="35" s="1"/>
  <c r="AU550" i="35"/>
  <c r="BF550" i="35" s="1"/>
  <c r="AT550" i="35"/>
  <c r="BE550" i="35" s="1"/>
  <c r="AS550" i="35"/>
  <c r="BD550" i="35" s="1"/>
  <c r="AR550" i="35"/>
  <c r="BC550" i="35" s="1"/>
  <c r="AQ550" i="35"/>
  <c r="BB550" i="35" s="1"/>
  <c r="AP550" i="35"/>
  <c r="BA550" i="35" s="1"/>
  <c r="AO550" i="35"/>
  <c r="AZ550" i="35" s="1"/>
  <c r="AL550" i="35"/>
  <c r="AK550" i="35"/>
  <c r="AJ550" i="35"/>
  <c r="AI550" i="35"/>
  <c r="AH550" i="35"/>
  <c r="AG550" i="35"/>
  <c r="AF550" i="35"/>
  <c r="AE550" i="35"/>
  <c r="AD550" i="35"/>
  <c r="AW549" i="35"/>
  <c r="BH549" i="35" s="1"/>
  <c r="AV549" i="35"/>
  <c r="BG549" i="35" s="1"/>
  <c r="AU549" i="35"/>
  <c r="BF549" i="35" s="1"/>
  <c r="AT549" i="35"/>
  <c r="BE549" i="35" s="1"/>
  <c r="AS549" i="35"/>
  <c r="BD549" i="35" s="1"/>
  <c r="AR549" i="35"/>
  <c r="BC549" i="35" s="1"/>
  <c r="AQ549" i="35"/>
  <c r="BB549" i="35" s="1"/>
  <c r="AP549" i="35"/>
  <c r="BA549" i="35" s="1"/>
  <c r="AO549" i="35"/>
  <c r="AZ549" i="35" s="1"/>
  <c r="AL549" i="35"/>
  <c r="AK549" i="35"/>
  <c r="AJ549" i="35"/>
  <c r="AI549" i="35"/>
  <c r="AH549" i="35"/>
  <c r="AG549" i="35"/>
  <c r="AF549" i="35"/>
  <c r="AE549" i="35"/>
  <c r="AD549" i="35"/>
  <c r="BH548" i="35"/>
  <c r="AW548" i="35"/>
  <c r="AV548" i="35"/>
  <c r="BG548" i="35" s="1"/>
  <c r="AU548" i="35"/>
  <c r="BF548" i="35" s="1"/>
  <c r="AT548" i="35"/>
  <c r="BE548" i="35" s="1"/>
  <c r="AS548" i="35"/>
  <c r="BD548" i="35" s="1"/>
  <c r="AR548" i="35"/>
  <c r="BC548" i="35" s="1"/>
  <c r="AQ548" i="35"/>
  <c r="BB548" i="35" s="1"/>
  <c r="AP548" i="35"/>
  <c r="BA548" i="35" s="1"/>
  <c r="AO548" i="35"/>
  <c r="AZ548" i="35" s="1"/>
  <c r="AL548" i="35"/>
  <c r="AK548" i="35"/>
  <c r="AJ548" i="35"/>
  <c r="AI548" i="35"/>
  <c r="AH548" i="35"/>
  <c r="AG548" i="35"/>
  <c r="AF548" i="35"/>
  <c r="AE548" i="35"/>
  <c r="AD548" i="35"/>
  <c r="BH547" i="35"/>
  <c r="AW547" i="35"/>
  <c r="AV547" i="35"/>
  <c r="BG547" i="35" s="1"/>
  <c r="AU547" i="35"/>
  <c r="BF547" i="35" s="1"/>
  <c r="AT547" i="35"/>
  <c r="BE547" i="35" s="1"/>
  <c r="AS547" i="35"/>
  <c r="BD547" i="35" s="1"/>
  <c r="AR547" i="35"/>
  <c r="BC547" i="35" s="1"/>
  <c r="AQ547" i="35"/>
  <c r="BB547" i="35" s="1"/>
  <c r="AP547" i="35"/>
  <c r="BA547" i="35" s="1"/>
  <c r="AO547" i="35"/>
  <c r="AZ547" i="35" s="1"/>
  <c r="AL547" i="35"/>
  <c r="AK547" i="35"/>
  <c r="AJ547" i="35"/>
  <c r="AI547" i="35"/>
  <c r="AH547" i="35"/>
  <c r="AG547" i="35"/>
  <c r="AF547" i="35"/>
  <c r="AE547" i="35"/>
  <c r="AD547" i="35"/>
  <c r="AW546" i="35"/>
  <c r="BH546" i="35" s="1"/>
  <c r="AV546" i="35"/>
  <c r="BG546" i="35" s="1"/>
  <c r="AU546" i="35"/>
  <c r="BF546" i="35" s="1"/>
  <c r="AT546" i="35"/>
  <c r="BE546" i="35" s="1"/>
  <c r="AS546" i="35"/>
  <c r="BD546" i="35" s="1"/>
  <c r="AR546" i="35"/>
  <c r="BC546" i="35" s="1"/>
  <c r="AQ546" i="35"/>
  <c r="BB546" i="35" s="1"/>
  <c r="AP546" i="35"/>
  <c r="BA546" i="35" s="1"/>
  <c r="AO546" i="35"/>
  <c r="AZ546" i="35" s="1"/>
  <c r="AL546" i="35"/>
  <c r="AK546" i="35"/>
  <c r="AJ546" i="35"/>
  <c r="AI546" i="35"/>
  <c r="AH546" i="35"/>
  <c r="AG546" i="35"/>
  <c r="AF546" i="35"/>
  <c r="AE546" i="35"/>
  <c r="AD546" i="35"/>
  <c r="AW545" i="35"/>
  <c r="BH545" i="35" s="1"/>
  <c r="AV545" i="35"/>
  <c r="BG545" i="35" s="1"/>
  <c r="AU545" i="35"/>
  <c r="BF545" i="35" s="1"/>
  <c r="AT545" i="35"/>
  <c r="BE545" i="35" s="1"/>
  <c r="AS545" i="35"/>
  <c r="BD545" i="35" s="1"/>
  <c r="AR545" i="35"/>
  <c r="BC545" i="35" s="1"/>
  <c r="AQ545" i="35"/>
  <c r="BB545" i="35" s="1"/>
  <c r="AP545" i="35"/>
  <c r="BA545" i="35" s="1"/>
  <c r="AO545" i="35"/>
  <c r="AZ545" i="35" s="1"/>
  <c r="AL545" i="35"/>
  <c r="AK545" i="35"/>
  <c r="AJ545" i="35"/>
  <c r="AI545" i="35"/>
  <c r="AH545" i="35"/>
  <c r="AG545" i="35"/>
  <c r="AF545" i="35"/>
  <c r="AE545" i="35"/>
  <c r="AD545" i="35"/>
  <c r="AW544" i="35"/>
  <c r="BH544" i="35" s="1"/>
  <c r="AV544" i="35"/>
  <c r="BG544" i="35" s="1"/>
  <c r="AU544" i="35"/>
  <c r="BF544" i="35" s="1"/>
  <c r="AT544" i="35"/>
  <c r="BE544" i="35" s="1"/>
  <c r="AS544" i="35"/>
  <c r="BD544" i="35" s="1"/>
  <c r="AR544" i="35"/>
  <c r="BC544" i="35" s="1"/>
  <c r="AQ544" i="35"/>
  <c r="BB544" i="35" s="1"/>
  <c r="AP544" i="35"/>
  <c r="BA544" i="35" s="1"/>
  <c r="AO544" i="35"/>
  <c r="AZ544" i="35" s="1"/>
  <c r="AL544" i="35"/>
  <c r="AK544" i="35"/>
  <c r="AJ544" i="35"/>
  <c r="AI544" i="35"/>
  <c r="AH544" i="35"/>
  <c r="AG544" i="35"/>
  <c r="AF544" i="35"/>
  <c r="AE544" i="35"/>
  <c r="AD544" i="35"/>
  <c r="AW543" i="35"/>
  <c r="BH543" i="35" s="1"/>
  <c r="AV543" i="35"/>
  <c r="BG543" i="35" s="1"/>
  <c r="AU543" i="35"/>
  <c r="BF543" i="35" s="1"/>
  <c r="AT543" i="35"/>
  <c r="BE543" i="35" s="1"/>
  <c r="AS543" i="35"/>
  <c r="BD543" i="35" s="1"/>
  <c r="AR543" i="35"/>
  <c r="BC543" i="35" s="1"/>
  <c r="AQ543" i="35"/>
  <c r="BB543" i="35" s="1"/>
  <c r="AP543" i="35"/>
  <c r="BA543" i="35" s="1"/>
  <c r="AO543" i="35"/>
  <c r="AZ543" i="35" s="1"/>
  <c r="AL543" i="35"/>
  <c r="AK543" i="35"/>
  <c r="AJ543" i="35"/>
  <c r="AI543" i="35"/>
  <c r="AH543" i="35"/>
  <c r="AG543" i="35"/>
  <c r="AF543" i="35"/>
  <c r="AE543" i="35"/>
  <c r="AD543" i="35"/>
  <c r="AW542" i="35"/>
  <c r="BH542" i="35" s="1"/>
  <c r="AV542" i="35"/>
  <c r="BG542" i="35" s="1"/>
  <c r="AU542" i="35"/>
  <c r="BF542" i="35" s="1"/>
  <c r="AT542" i="35"/>
  <c r="BE542" i="35" s="1"/>
  <c r="AS542" i="35"/>
  <c r="BD542" i="35" s="1"/>
  <c r="AR542" i="35"/>
  <c r="BC542" i="35" s="1"/>
  <c r="AQ542" i="35"/>
  <c r="BB542" i="35" s="1"/>
  <c r="AP542" i="35"/>
  <c r="BA542" i="35" s="1"/>
  <c r="AO542" i="35"/>
  <c r="AZ542" i="35" s="1"/>
  <c r="AL542" i="35"/>
  <c r="AK542" i="35"/>
  <c r="AJ542" i="35"/>
  <c r="AI542" i="35"/>
  <c r="AH542" i="35"/>
  <c r="AG542" i="35"/>
  <c r="AF542" i="35"/>
  <c r="AE542" i="35"/>
  <c r="AD542" i="35"/>
  <c r="AW541" i="35"/>
  <c r="BH541" i="35" s="1"/>
  <c r="AV541" i="35"/>
  <c r="BG541" i="35" s="1"/>
  <c r="AU541" i="35"/>
  <c r="BF541" i="35" s="1"/>
  <c r="AT541" i="35"/>
  <c r="BE541" i="35" s="1"/>
  <c r="AS541" i="35"/>
  <c r="BD541" i="35" s="1"/>
  <c r="AR541" i="35"/>
  <c r="BC541" i="35" s="1"/>
  <c r="AQ541" i="35"/>
  <c r="BB541" i="35" s="1"/>
  <c r="AP541" i="35"/>
  <c r="BA541" i="35" s="1"/>
  <c r="AO541" i="35"/>
  <c r="AZ541" i="35" s="1"/>
  <c r="AL541" i="35"/>
  <c r="AK541" i="35"/>
  <c r="AJ541" i="35"/>
  <c r="AI541" i="35"/>
  <c r="AH541" i="35"/>
  <c r="AG541" i="35"/>
  <c r="AF541" i="35"/>
  <c r="AE541" i="35"/>
  <c r="AD541" i="35"/>
  <c r="AW540" i="35"/>
  <c r="BH540" i="35" s="1"/>
  <c r="AV540" i="35"/>
  <c r="BG540" i="35" s="1"/>
  <c r="AU540" i="35"/>
  <c r="BF540" i="35" s="1"/>
  <c r="AT540" i="35"/>
  <c r="BE540" i="35" s="1"/>
  <c r="AS540" i="35"/>
  <c r="BD540" i="35" s="1"/>
  <c r="AR540" i="35"/>
  <c r="BC540" i="35" s="1"/>
  <c r="AQ540" i="35"/>
  <c r="BB540" i="35" s="1"/>
  <c r="AP540" i="35"/>
  <c r="BA540" i="35" s="1"/>
  <c r="AO540" i="35"/>
  <c r="AZ540" i="35" s="1"/>
  <c r="AL540" i="35"/>
  <c r="AK540" i="35"/>
  <c r="AJ540" i="35"/>
  <c r="AI540" i="35"/>
  <c r="AH540" i="35"/>
  <c r="AG540" i="35"/>
  <c r="AF540" i="35"/>
  <c r="AE540" i="35"/>
  <c r="AD540" i="35"/>
  <c r="AW539" i="35"/>
  <c r="BH539" i="35" s="1"/>
  <c r="AV539" i="35"/>
  <c r="BG539" i="35" s="1"/>
  <c r="AU539" i="35"/>
  <c r="BF539" i="35" s="1"/>
  <c r="AT539" i="35"/>
  <c r="BE539" i="35" s="1"/>
  <c r="AS539" i="35"/>
  <c r="BD539" i="35" s="1"/>
  <c r="AR539" i="35"/>
  <c r="BC539" i="35" s="1"/>
  <c r="AQ539" i="35"/>
  <c r="BB539" i="35" s="1"/>
  <c r="AP539" i="35"/>
  <c r="BA539" i="35" s="1"/>
  <c r="AO539" i="35"/>
  <c r="AZ539" i="35" s="1"/>
  <c r="AL539" i="35"/>
  <c r="AK539" i="35"/>
  <c r="AJ539" i="35"/>
  <c r="AI539" i="35"/>
  <c r="AH539" i="35"/>
  <c r="AG539" i="35"/>
  <c r="AF539" i="35"/>
  <c r="AE539" i="35"/>
  <c r="AD539" i="35"/>
  <c r="AW538" i="35"/>
  <c r="BH538" i="35" s="1"/>
  <c r="AV538" i="35"/>
  <c r="BG538" i="35" s="1"/>
  <c r="AU538" i="35"/>
  <c r="BF538" i="35" s="1"/>
  <c r="AT538" i="35"/>
  <c r="BE538" i="35" s="1"/>
  <c r="AS538" i="35"/>
  <c r="BD538" i="35" s="1"/>
  <c r="AR538" i="35"/>
  <c r="BC538" i="35" s="1"/>
  <c r="AQ538" i="35"/>
  <c r="BB538" i="35" s="1"/>
  <c r="AP538" i="35"/>
  <c r="BA538" i="35" s="1"/>
  <c r="AO538" i="35"/>
  <c r="AZ538" i="35" s="1"/>
  <c r="AL538" i="35"/>
  <c r="AK538" i="35"/>
  <c r="AJ538" i="35"/>
  <c r="AI538" i="35"/>
  <c r="AH538" i="35"/>
  <c r="AG538" i="35"/>
  <c r="AF538" i="35"/>
  <c r="AE538" i="35"/>
  <c r="AD538" i="35"/>
  <c r="AW537" i="35"/>
  <c r="BH537" i="35" s="1"/>
  <c r="AV537" i="35"/>
  <c r="BG537" i="35" s="1"/>
  <c r="AU537" i="35"/>
  <c r="BF537" i="35" s="1"/>
  <c r="AT537" i="35"/>
  <c r="BE537" i="35" s="1"/>
  <c r="AS537" i="35"/>
  <c r="BD537" i="35" s="1"/>
  <c r="AR537" i="35"/>
  <c r="BC537" i="35" s="1"/>
  <c r="AQ537" i="35"/>
  <c r="BB537" i="35" s="1"/>
  <c r="AP537" i="35"/>
  <c r="BA537" i="35" s="1"/>
  <c r="AO537" i="35"/>
  <c r="AZ537" i="35" s="1"/>
  <c r="AL537" i="35"/>
  <c r="AK537" i="35"/>
  <c r="AJ537" i="35"/>
  <c r="AI537" i="35"/>
  <c r="AH537" i="35"/>
  <c r="AG537" i="35"/>
  <c r="AF537" i="35"/>
  <c r="AE537" i="35"/>
  <c r="AD537" i="35"/>
  <c r="AW536" i="35"/>
  <c r="BH536" i="35" s="1"/>
  <c r="AV536" i="35"/>
  <c r="BG536" i="35" s="1"/>
  <c r="AU536" i="35"/>
  <c r="BF536" i="35" s="1"/>
  <c r="AT536" i="35"/>
  <c r="BE536" i="35" s="1"/>
  <c r="AS536" i="35"/>
  <c r="BD536" i="35" s="1"/>
  <c r="AR536" i="35"/>
  <c r="BC536" i="35" s="1"/>
  <c r="AQ536" i="35"/>
  <c r="BB536" i="35" s="1"/>
  <c r="AP536" i="35"/>
  <c r="BA536" i="35" s="1"/>
  <c r="AO536" i="35"/>
  <c r="AZ536" i="35" s="1"/>
  <c r="AL536" i="35"/>
  <c r="AK536" i="35"/>
  <c r="AJ536" i="35"/>
  <c r="AI536" i="35"/>
  <c r="AH536" i="35"/>
  <c r="AG536" i="35"/>
  <c r="AF536" i="35"/>
  <c r="AE536" i="35"/>
  <c r="AD536" i="35"/>
  <c r="AW535" i="35"/>
  <c r="BH535" i="35" s="1"/>
  <c r="AV535" i="35"/>
  <c r="BG535" i="35" s="1"/>
  <c r="AU535" i="35"/>
  <c r="BF535" i="35" s="1"/>
  <c r="AT535" i="35"/>
  <c r="BE535" i="35" s="1"/>
  <c r="AS535" i="35"/>
  <c r="BD535" i="35" s="1"/>
  <c r="AR535" i="35"/>
  <c r="BC535" i="35" s="1"/>
  <c r="AQ535" i="35"/>
  <c r="BB535" i="35" s="1"/>
  <c r="AP535" i="35"/>
  <c r="BA535" i="35" s="1"/>
  <c r="AO535" i="35"/>
  <c r="AZ535" i="35" s="1"/>
  <c r="AL535" i="35"/>
  <c r="AK535" i="35"/>
  <c r="AJ535" i="35"/>
  <c r="AI535" i="35"/>
  <c r="AH535" i="35"/>
  <c r="AG535" i="35"/>
  <c r="AF535" i="35"/>
  <c r="AE535" i="35"/>
  <c r="AD535" i="35"/>
  <c r="AW534" i="35"/>
  <c r="BH534" i="35" s="1"/>
  <c r="AV534" i="35"/>
  <c r="BG534" i="35" s="1"/>
  <c r="AU534" i="35"/>
  <c r="BF534" i="35" s="1"/>
  <c r="AT534" i="35"/>
  <c r="BE534" i="35" s="1"/>
  <c r="AS534" i="35"/>
  <c r="BD534" i="35" s="1"/>
  <c r="AR534" i="35"/>
  <c r="BC534" i="35" s="1"/>
  <c r="AQ534" i="35"/>
  <c r="BB534" i="35" s="1"/>
  <c r="AP534" i="35"/>
  <c r="BA534" i="35" s="1"/>
  <c r="AO534" i="35"/>
  <c r="AZ534" i="35" s="1"/>
  <c r="AL534" i="35"/>
  <c r="AK534" i="35"/>
  <c r="AJ534" i="35"/>
  <c r="AI534" i="35"/>
  <c r="AH534" i="35"/>
  <c r="AG534" i="35"/>
  <c r="AF534" i="35"/>
  <c r="AE534" i="35"/>
  <c r="AD534" i="35"/>
  <c r="AW533" i="35"/>
  <c r="BH533" i="35" s="1"/>
  <c r="AV533" i="35"/>
  <c r="BG533" i="35" s="1"/>
  <c r="AU533" i="35"/>
  <c r="BF533" i="35" s="1"/>
  <c r="AT533" i="35"/>
  <c r="BE533" i="35" s="1"/>
  <c r="AS533" i="35"/>
  <c r="BD533" i="35" s="1"/>
  <c r="AR533" i="35"/>
  <c r="BC533" i="35" s="1"/>
  <c r="AQ533" i="35"/>
  <c r="BB533" i="35" s="1"/>
  <c r="AP533" i="35"/>
  <c r="BA533" i="35" s="1"/>
  <c r="AO533" i="35"/>
  <c r="AZ533" i="35" s="1"/>
  <c r="AL533" i="35"/>
  <c r="AK533" i="35"/>
  <c r="AJ533" i="35"/>
  <c r="AI533" i="35"/>
  <c r="AH533" i="35"/>
  <c r="AG533" i="35"/>
  <c r="AF533" i="35"/>
  <c r="AE533" i="35"/>
  <c r="AD533" i="35"/>
  <c r="AW532" i="35"/>
  <c r="BH532" i="35" s="1"/>
  <c r="AV532" i="35"/>
  <c r="BG532" i="35" s="1"/>
  <c r="AU532" i="35"/>
  <c r="BF532" i="35" s="1"/>
  <c r="AT532" i="35"/>
  <c r="BE532" i="35" s="1"/>
  <c r="AS532" i="35"/>
  <c r="BD532" i="35" s="1"/>
  <c r="AR532" i="35"/>
  <c r="BC532" i="35" s="1"/>
  <c r="AQ532" i="35"/>
  <c r="BB532" i="35" s="1"/>
  <c r="AP532" i="35"/>
  <c r="BA532" i="35" s="1"/>
  <c r="AO532" i="35"/>
  <c r="AZ532" i="35" s="1"/>
  <c r="AL532" i="35"/>
  <c r="AK532" i="35"/>
  <c r="AJ532" i="35"/>
  <c r="AI532" i="35"/>
  <c r="AH532" i="35"/>
  <c r="AG532" i="35"/>
  <c r="AF532" i="35"/>
  <c r="AE532" i="35"/>
  <c r="AD532" i="35"/>
  <c r="AW531" i="35"/>
  <c r="BH531" i="35" s="1"/>
  <c r="AV531" i="35"/>
  <c r="BG531" i="35" s="1"/>
  <c r="AU531" i="35"/>
  <c r="BF531" i="35" s="1"/>
  <c r="AT531" i="35"/>
  <c r="BE531" i="35" s="1"/>
  <c r="AS531" i="35"/>
  <c r="BD531" i="35" s="1"/>
  <c r="AR531" i="35"/>
  <c r="BC531" i="35" s="1"/>
  <c r="AQ531" i="35"/>
  <c r="BB531" i="35" s="1"/>
  <c r="AP531" i="35"/>
  <c r="BA531" i="35" s="1"/>
  <c r="AO531" i="35"/>
  <c r="AZ531" i="35" s="1"/>
  <c r="AL531" i="35"/>
  <c r="AK531" i="35"/>
  <c r="AJ531" i="35"/>
  <c r="AI531" i="35"/>
  <c r="AH531" i="35"/>
  <c r="AG531" i="35"/>
  <c r="AF531" i="35"/>
  <c r="AE531" i="35"/>
  <c r="AD531" i="35"/>
  <c r="AW530" i="35"/>
  <c r="BH530" i="35" s="1"/>
  <c r="AV530" i="35"/>
  <c r="BG530" i="35" s="1"/>
  <c r="AU530" i="35"/>
  <c r="BF530" i="35" s="1"/>
  <c r="AT530" i="35"/>
  <c r="BE530" i="35" s="1"/>
  <c r="AS530" i="35"/>
  <c r="BD530" i="35" s="1"/>
  <c r="AR530" i="35"/>
  <c r="BC530" i="35" s="1"/>
  <c r="AQ530" i="35"/>
  <c r="BB530" i="35" s="1"/>
  <c r="AP530" i="35"/>
  <c r="BA530" i="35" s="1"/>
  <c r="AO530" i="35"/>
  <c r="AZ530" i="35" s="1"/>
  <c r="AL530" i="35"/>
  <c r="AK530" i="35"/>
  <c r="AJ530" i="35"/>
  <c r="AI530" i="35"/>
  <c r="AH530" i="35"/>
  <c r="AG530" i="35"/>
  <c r="AF530" i="35"/>
  <c r="AE530" i="35"/>
  <c r="AD530" i="35"/>
  <c r="AW529" i="35"/>
  <c r="BH529" i="35" s="1"/>
  <c r="AV529" i="35"/>
  <c r="BG529" i="35" s="1"/>
  <c r="AU529" i="35"/>
  <c r="BF529" i="35" s="1"/>
  <c r="AT529" i="35"/>
  <c r="BE529" i="35" s="1"/>
  <c r="AS529" i="35"/>
  <c r="BD529" i="35" s="1"/>
  <c r="AR529" i="35"/>
  <c r="BC529" i="35" s="1"/>
  <c r="AQ529" i="35"/>
  <c r="BB529" i="35" s="1"/>
  <c r="AP529" i="35"/>
  <c r="BA529" i="35" s="1"/>
  <c r="AO529" i="35"/>
  <c r="AZ529" i="35" s="1"/>
  <c r="AL529" i="35"/>
  <c r="AK529" i="35"/>
  <c r="AJ529" i="35"/>
  <c r="AI529" i="35"/>
  <c r="AH529" i="35"/>
  <c r="AG529" i="35"/>
  <c r="AF529" i="35"/>
  <c r="AE529" i="35"/>
  <c r="AD529" i="35"/>
  <c r="AW528" i="35"/>
  <c r="BH528" i="35" s="1"/>
  <c r="AV528" i="35"/>
  <c r="BG528" i="35" s="1"/>
  <c r="AU528" i="35"/>
  <c r="BF528" i="35" s="1"/>
  <c r="AT528" i="35"/>
  <c r="BE528" i="35" s="1"/>
  <c r="AS528" i="35"/>
  <c r="BD528" i="35" s="1"/>
  <c r="AR528" i="35"/>
  <c r="BC528" i="35" s="1"/>
  <c r="AQ528" i="35"/>
  <c r="BB528" i="35" s="1"/>
  <c r="AP528" i="35"/>
  <c r="BA528" i="35" s="1"/>
  <c r="AO528" i="35"/>
  <c r="AZ528" i="35" s="1"/>
  <c r="AL528" i="35"/>
  <c r="AK528" i="35"/>
  <c r="AJ528" i="35"/>
  <c r="AI528" i="35"/>
  <c r="AH528" i="35"/>
  <c r="AG528" i="35"/>
  <c r="AF528" i="35"/>
  <c r="AE528" i="35"/>
  <c r="AD528" i="35"/>
  <c r="AW527" i="35"/>
  <c r="BH527" i="35" s="1"/>
  <c r="AV527" i="35"/>
  <c r="BG527" i="35" s="1"/>
  <c r="AU527" i="35"/>
  <c r="BF527" i="35" s="1"/>
  <c r="AT527" i="35"/>
  <c r="BE527" i="35" s="1"/>
  <c r="AS527" i="35"/>
  <c r="BD527" i="35" s="1"/>
  <c r="AR527" i="35"/>
  <c r="BC527" i="35" s="1"/>
  <c r="AQ527" i="35"/>
  <c r="BB527" i="35" s="1"/>
  <c r="AP527" i="35"/>
  <c r="BA527" i="35" s="1"/>
  <c r="AO527" i="35"/>
  <c r="AZ527" i="35" s="1"/>
  <c r="AL527" i="35"/>
  <c r="AK527" i="35"/>
  <c r="AJ527" i="35"/>
  <c r="AI527" i="35"/>
  <c r="AH527" i="35"/>
  <c r="AG527" i="35"/>
  <c r="AF527" i="35"/>
  <c r="AE527" i="35"/>
  <c r="AD527" i="35"/>
  <c r="BG525" i="35"/>
  <c r="AW525" i="35"/>
  <c r="BH525" i="35" s="1"/>
  <c r="AV525" i="35"/>
  <c r="AU525" i="35"/>
  <c r="BF525" i="35" s="1"/>
  <c r="AT525" i="35"/>
  <c r="BE525" i="35" s="1"/>
  <c r="AS525" i="35"/>
  <c r="BD525" i="35" s="1"/>
  <c r="AR525" i="35"/>
  <c r="BC525" i="35" s="1"/>
  <c r="AQ525" i="35"/>
  <c r="BB525" i="35" s="1"/>
  <c r="AP525" i="35"/>
  <c r="BA525" i="35" s="1"/>
  <c r="AO525" i="35"/>
  <c r="AZ525" i="35" s="1"/>
  <c r="AL525" i="35"/>
  <c r="AK525" i="35"/>
  <c r="AJ525" i="35"/>
  <c r="AI525" i="35"/>
  <c r="AH525" i="35"/>
  <c r="AG525" i="35"/>
  <c r="AF525" i="35"/>
  <c r="AE525" i="35"/>
  <c r="AD525" i="35"/>
  <c r="AW524" i="35"/>
  <c r="BH524" i="35" s="1"/>
  <c r="AV524" i="35"/>
  <c r="BG524" i="35" s="1"/>
  <c r="AU524" i="35"/>
  <c r="BF524" i="35" s="1"/>
  <c r="AT524" i="35"/>
  <c r="BE524" i="35" s="1"/>
  <c r="AS524" i="35"/>
  <c r="BD524" i="35" s="1"/>
  <c r="AR524" i="35"/>
  <c r="BC524" i="35" s="1"/>
  <c r="AQ524" i="35"/>
  <c r="BB524" i="35" s="1"/>
  <c r="AP524" i="35"/>
  <c r="BA524" i="35" s="1"/>
  <c r="AO524" i="35"/>
  <c r="AZ524" i="35" s="1"/>
  <c r="AL524" i="35"/>
  <c r="AK524" i="35"/>
  <c r="AJ524" i="35"/>
  <c r="AI524" i="35"/>
  <c r="AH524" i="35"/>
  <c r="AG524" i="35"/>
  <c r="AF524" i="35"/>
  <c r="AE524" i="35"/>
  <c r="AD524" i="35"/>
  <c r="BH523" i="35"/>
  <c r="AW523" i="35"/>
  <c r="AV523" i="35"/>
  <c r="BG523" i="35" s="1"/>
  <c r="AU523" i="35"/>
  <c r="BF523" i="35" s="1"/>
  <c r="AT523" i="35"/>
  <c r="BE523" i="35" s="1"/>
  <c r="AS523" i="35"/>
  <c r="BD523" i="35" s="1"/>
  <c r="AR523" i="35"/>
  <c r="BC523" i="35" s="1"/>
  <c r="AQ523" i="35"/>
  <c r="BB523" i="35" s="1"/>
  <c r="AP523" i="35"/>
  <c r="BA523" i="35" s="1"/>
  <c r="AO523" i="35"/>
  <c r="AZ523" i="35" s="1"/>
  <c r="AL523" i="35"/>
  <c r="AK523" i="35"/>
  <c r="AJ523" i="35"/>
  <c r="AI523" i="35"/>
  <c r="AH523" i="35"/>
  <c r="AG523" i="35"/>
  <c r="AF523" i="35"/>
  <c r="AE523" i="35"/>
  <c r="AD523" i="35"/>
  <c r="AW522" i="35"/>
  <c r="BH522" i="35" s="1"/>
  <c r="AV522" i="35"/>
  <c r="BG522" i="35" s="1"/>
  <c r="AU522" i="35"/>
  <c r="BF522" i="35" s="1"/>
  <c r="AT522" i="35"/>
  <c r="BE522" i="35" s="1"/>
  <c r="AS522" i="35"/>
  <c r="BD522" i="35" s="1"/>
  <c r="AR522" i="35"/>
  <c r="BC522" i="35" s="1"/>
  <c r="AQ522" i="35"/>
  <c r="BB522" i="35" s="1"/>
  <c r="AP522" i="35"/>
  <c r="BA522" i="35" s="1"/>
  <c r="AO522" i="35"/>
  <c r="AZ522" i="35" s="1"/>
  <c r="AL522" i="35"/>
  <c r="AK522" i="35"/>
  <c r="AJ522" i="35"/>
  <c r="AI522" i="35"/>
  <c r="AH522" i="35"/>
  <c r="AG522" i="35"/>
  <c r="AF522" i="35"/>
  <c r="AE522" i="35"/>
  <c r="AD522" i="35"/>
  <c r="AW521" i="35"/>
  <c r="BH521" i="35" s="1"/>
  <c r="AV521" i="35"/>
  <c r="BG521" i="35" s="1"/>
  <c r="AU521" i="35"/>
  <c r="BF521" i="35" s="1"/>
  <c r="AT521" i="35"/>
  <c r="BE521" i="35" s="1"/>
  <c r="AS521" i="35"/>
  <c r="BD521" i="35" s="1"/>
  <c r="AR521" i="35"/>
  <c r="BC521" i="35" s="1"/>
  <c r="AQ521" i="35"/>
  <c r="BB521" i="35" s="1"/>
  <c r="AP521" i="35"/>
  <c r="BA521" i="35" s="1"/>
  <c r="AO521" i="35"/>
  <c r="AZ521" i="35" s="1"/>
  <c r="AL521" i="35"/>
  <c r="AK521" i="35"/>
  <c r="AJ521" i="35"/>
  <c r="AI521" i="35"/>
  <c r="AH521" i="35"/>
  <c r="AG521" i="35"/>
  <c r="AF521" i="35"/>
  <c r="AE521" i="35"/>
  <c r="AD521" i="35"/>
  <c r="AW520" i="35"/>
  <c r="BH520" i="35" s="1"/>
  <c r="AV520" i="35"/>
  <c r="BG520" i="35" s="1"/>
  <c r="AU520" i="35"/>
  <c r="BF520" i="35" s="1"/>
  <c r="AT520" i="35"/>
  <c r="BE520" i="35" s="1"/>
  <c r="AS520" i="35"/>
  <c r="BD520" i="35" s="1"/>
  <c r="AR520" i="35"/>
  <c r="BC520" i="35" s="1"/>
  <c r="AQ520" i="35"/>
  <c r="BB520" i="35" s="1"/>
  <c r="AP520" i="35"/>
  <c r="BA520" i="35" s="1"/>
  <c r="AO520" i="35"/>
  <c r="AZ520" i="35" s="1"/>
  <c r="AL520" i="35"/>
  <c r="AK520" i="35"/>
  <c r="AJ520" i="35"/>
  <c r="AI520" i="35"/>
  <c r="AH520" i="35"/>
  <c r="AG520" i="35"/>
  <c r="AF520" i="35"/>
  <c r="AE520" i="35"/>
  <c r="AD520" i="35"/>
  <c r="AW519" i="35"/>
  <c r="BH519" i="35" s="1"/>
  <c r="AV519" i="35"/>
  <c r="BG519" i="35" s="1"/>
  <c r="AU519" i="35"/>
  <c r="BF519" i="35" s="1"/>
  <c r="AT519" i="35"/>
  <c r="BE519" i="35" s="1"/>
  <c r="AS519" i="35"/>
  <c r="BD519" i="35" s="1"/>
  <c r="AR519" i="35"/>
  <c r="BC519" i="35" s="1"/>
  <c r="AQ519" i="35"/>
  <c r="BB519" i="35" s="1"/>
  <c r="AP519" i="35"/>
  <c r="BA519" i="35" s="1"/>
  <c r="AO519" i="35"/>
  <c r="AZ519" i="35" s="1"/>
  <c r="AL519" i="35"/>
  <c r="AK519" i="35"/>
  <c r="AJ519" i="35"/>
  <c r="AI519" i="35"/>
  <c r="AH519" i="35"/>
  <c r="AG519" i="35"/>
  <c r="AF519" i="35"/>
  <c r="AE519" i="35"/>
  <c r="AD519" i="35"/>
  <c r="AW518" i="35"/>
  <c r="BH518" i="35" s="1"/>
  <c r="AV518" i="35"/>
  <c r="BG518" i="35" s="1"/>
  <c r="AU518" i="35"/>
  <c r="BF518" i="35" s="1"/>
  <c r="AT518" i="35"/>
  <c r="BE518" i="35" s="1"/>
  <c r="AS518" i="35"/>
  <c r="BD518" i="35" s="1"/>
  <c r="AR518" i="35"/>
  <c r="BC518" i="35" s="1"/>
  <c r="AQ518" i="35"/>
  <c r="BB518" i="35" s="1"/>
  <c r="AP518" i="35"/>
  <c r="BA518" i="35" s="1"/>
  <c r="AO518" i="35"/>
  <c r="AZ518" i="35" s="1"/>
  <c r="AL518" i="35"/>
  <c r="AK518" i="35"/>
  <c r="AJ518" i="35"/>
  <c r="AI518" i="35"/>
  <c r="AH518" i="35"/>
  <c r="AG518" i="35"/>
  <c r="AF518" i="35"/>
  <c r="AE518" i="35"/>
  <c r="AD518" i="35"/>
  <c r="BE517" i="35"/>
  <c r="AW517" i="35"/>
  <c r="BH517" i="35" s="1"/>
  <c r="AV517" i="35"/>
  <c r="BG517" i="35" s="1"/>
  <c r="AU517" i="35"/>
  <c r="BF517" i="35" s="1"/>
  <c r="AT517" i="35"/>
  <c r="AS517" i="35"/>
  <c r="BD517" i="35" s="1"/>
  <c r="AR517" i="35"/>
  <c r="BC517" i="35" s="1"/>
  <c r="AQ517" i="35"/>
  <c r="BB517" i="35" s="1"/>
  <c r="AP517" i="35"/>
  <c r="BA517" i="35" s="1"/>
  <c r="AO517" i="35"/>
  <c r="AZ517" i="35" s="1"/>
  <c r="AL517" i="35"/>
  <c r="AK517" i="35"/>
  <c r="AJ517" i="35"/>
  <c r="AI517" i="35"/>
  <c r="AH517" i="35"/>
  <c r="AG517" i="35"/>
  <c r="AF517" i="35"/>
  <c r="AE517" i="35"/>
  <c r="AD517" i="35"/>
  <c r="AW516" i="35"/>
  <c r="BH516" i="35" s="1"/>
  <c r="AV516" i="35"/>
  <c r="BG516" i="35" s="1"/>
  <c r="AU516" i="35"/>
  <c r="BF516" i="35" s="1"/>
  <c r="AT516" i="35"/>
  <c r="BE516" i="35" s="1"/>
  <c r="AS516" i="35"/>
  <c r="BD516" i="35" s="1"/>
  <c r="AR516" i="35"/>
  <c r="BC516" i="35" s="1"/>
  <c r="AQ516" i="35"/>
  <c r="BB516" i="35" s="1"/>
  <c r="AP516" i="35"/>
  <c r="BA516" i="35" s="1"/>
  <c r="AO516" i="35"/>
  <c r="AZ516" i="35" s="1"/>
  <c r="AL516" i="35"/>
  <c r="AK516" i="35"/>
  <c r="AJ516" i="35"/>
  <c r="AI516" i="35"/>
  <c r="AH516" i="35"/>
  <c r="AG516" i="35"/>
  <c r="AF516" i="35"/>
  <c r="AE516" i="35"/>
  <c r="AD516" i="35"/>
  <c r="AW515" i="35"/>
  <c r="BH515" i="35" s="1"/>
  <c r="AV515" i="35"/>
  <c r="BG515" i="35" s="1"/>
  <c r="AU515" i="35"/>
  <c r="BF515" i="35" s="1"/>
  <c r="AT515" i="35"/>
  <c r="BE515" i="35" s="1"/>
  <c r="AS515" i="35"/>
  <c r="BD515" i="35" s="1"/>
  <c r="AR515" i="35"/>
  <c r="BC515" i="35" s="1"/>
  <c r="AQ515" i="35"/>
  <c r="BB515" i="35" s="1"/>
  <c r="AP515" i="35"/>
  <c r="BA515" i="35" s="1"/>
  <c r="AO515" i="35"/>
  <c r="AZ515" i="35" s="1"/>
  <c r="AL515" i="35"/>
  <c r="AK515" i="35"/>
  <c r="AJ515" i="35"/>
  <c r="AI515" i="35"/>
  <c r="AH515" i="35"/>
  <c r="AG515" i="35"/>
  <c r="AF515" i="35"/>
  <c r="AE515" i="35"/>
  <c r="AD515" i="35"/>
  <c r="AW514" i="35"/>
  <c r="BH514" i="35" s="1"/>
  <c r="AV514" i="35"/>
  <c r="BG514" i="35" s="1"/>
  <c r="AU514" i="35"/>
  <c r="BF514" i="35" s="1"/>
  <c r="AT514" i="35"/>
  <c r="BE514" i="35" s="1"/>
  <c r="AS514" i="35"/>
  <c r="BD514" i="35" s="1"/>
  <c r="AR514" i="35"/>
  <c r="BC514" i="35" s="1"/>
  <c r="AQ514" i="35"/>
  <c r="BB514" i="35" s="1"/>
  <c r="AP514" i="35"/>
  <c r="BA514" i="35" s="1"/>
  <c r="AO514" i="35"/>
  <c r="AZ514" i="35" s="1"/>
  <c r="AL514" i="35"/>
  <c r="AK514" i="35"/>
  <c r="AJ514" i="35"/>
  <c r="AI514" i="35"/>
  <c r="AH514" i="35"/>
  <c r="AG514" i="35"/>
  <c r="AF514" i="35"/>
  <c r="AE514" i="35"/>
  <c r="AD514" i="35"/>
  <c r="AW513" i="35"/>
  <c r="BH513" i="35" s="1"/>
  <c r="AV513" i="35"/>
  <c r="BG513" i="35" s="1"/>
  <c r="AU513" i="35"/>
  <c r="BF513" i="35" s="1"/>
  <c r="AT513" i="35"/>
  <c r="BE513" i="35" s="1"/>
  <c r="AS513" i="35"/>
  <c r="BD513" i="35" s="1"/>
  <c r="AR513" i="35"/>
  <c r="BC513" i="35" s="1"/>
  <c r="AQ513" i="35"/>
  <c r="BB513" i="35" s="1"/>
  <c r="AP513" i="35"/>
  <c r="BA513" i="35" s="1"/>
  <c r="AO513" i="35"/>
  <c r="AZ513" i="35" s="1"/>
  <c r="AL513" i="35"/>
  <c r="AK513" i="35"/>
  <c r="AJ513" i="35"/>
  <c r="AI513" i="35"/>
  <c r="AH513" i="35"/>
  <c r="AG513" i="35"/>
  <c r="AF513" i="35"/>
  <c r="AE513" i="35"/>
  <c r="AD513" i="35"/>
  <c r="AW512" i="35"/>
  <c r="BH512" i="35" s="1"/>
  <c r="AV512" i="35"/>
  <c r="BG512" i="35" s="1"/>
  <c r="AU512" i="35"/>
  <c r="BF512" i="35" s="1"/>
  <c r="AT512" i="35"/>
  <c r="BE512" i="35" s="1"/>
  <c r="AS512" i="35"/>
  <c r="BD512" i="35" s="1"/>
  <c r="AR512" i="35"/>
  <c r="BC512" i="35" s="1"/>
  <c r="AQ512" i="35"/>
  <c r="BB512" i="35" s="1"/>
  <c r="AP512" i="35"/>
  <c r="BA512" i="35" s="1"/>
  <c r="AO512" i="35"/>
  <c r="AZ512" i="35" s="1"/>
  <c r="AL512" i="35"/>
  <c r="AK512" i="35"/>
  <c r="AJ512" i="35"/>
  <c r="AI512" i="35"/>
  <c r="AH512" i="35"/>
  <c r="AG512" i="35"/>
  <c r="AF512" i="35"/>
  <c r="AE512" i="35"/>
  <c r="AD512" i="35"/>
  <c r="AW511" i="35"/>
  <c r="BH511" i="35" s="1"/>
  <c r="AV511" i="35"/>
  <c r="BG511" i="35" s="1"/>
  <c r="AU511" i="35"/>
  <c r="BF511" i="35" s="1"/>
  <c r="AT511" i="35"/>
  <c r="BE511" i="35" s="1"/>
  <c r="AS511" i="35"/>
  <c r="BD511" i="35" s="1"/>
  <c r="AR511" i="35"/>
  <c r="BC511" i="35" s="1"/>
  <c r="AQ511" i="35"/>
  <c r="BB511" i="35" s="1"/>
  <c r="AP511" i="35"/>
  <c r="BA511" i="35" s="1"/>
  <c r="AO511" i="35"/>
  <c r="AZ511" i="35" s="1"/>
  <c r="AL511" i="35"/>
  <c r="AK511" i="35"/>
  <c r="AJ511" i="35"/>
  <c r="AI511" i="35"/>
  <c r="AH511" i="35"/>
  <c r="AG511" i="35"/>
  <c r="AF511" i="35"/>
  <c r="AE511" i="35"/>
  <c r="AD511" i="35"/>
  <c r="AW510" i="35"/>
  <c r="BH510" i="35" s="1"/>
  <c r="AV510" i="35"/>
  <c r="BG510" i="35" s="1"/>
  <c r="AU510" i="35"/>
  <c r="BF510" i="35" s="1"/>
  <c r="AT510" i="35"/>
  <c r="BE510" i="35" s="1"/>
  <c r="AS510" i="35"/>
  <c r="BD510" i="35" s="1"/>
  <c r="AR510" i="35"/>
  <c r="BC510" i="35" s="1"/>
  <c r="AQ510" i="35"/>
  <c r="BB510" i="35" s="1"/>
  <c r="AP510" i="35"/>
  <c r="BA510" i="35" s="1"/>
  <c r="AO510" i="35"/>
  <c r="AZ510" i="35" s="1"/>
  <c r="AL510" i="35"/>
  <c r="AK510" i="35"/>
  <c r="AJ510" i="35"/>
  <c r="AI510" i="35"/>
  <c r="AH510" i="35"/>
  <c r="AG510" i="35"/>
  <c r="AF510" i="35"/>
  <c r="AE510" i="35"/>
  <c r="AD510" i="35"/>
  <c r="BG509" i="35"/>
  <c r="AW509" i="35"/>
  <c r="BH509" i="35" s="1"/>
  <c r="AV509" i="35"/>
  <c r="AU509" i="35"/>
  <c r="BF509" i="35" s="1"/>
  <c r="AT509" i="35"/>
  <c r="BE509" i="35" s="1"/>
  <c r="AS509" i="35"/>
  <c r="BD509" i="35" s="1"/>
  <c r="AR509" i="35"/>
  <c r="BC509" i="35" s="1"/>
  <c r="AQ509" i="35"/>
  <c r="BB509" i="35" s="1"/>
  <c r="AP509" i="35"/>
  <c r="BA509" i="35" s="1"/>
  <c r="AO509" i="35"/>
  <c r="AZ509" i="35" s="1"/>
  <c r="AL509" i="35"/>
  <c r="AK509" i="35"/>
  <c r="AJ509" i="35"/>
  <c r="AI509" i="35"/>
  <c r="AH509" i="35"/>
  <c r="AG509" i="35"/>
  <c r="AF509" i="35"/>
  <c r="AE509" i="35"/>
  <c r="AD509" i="35"/>
  <c r="AW508" i="35"/>
  <c r="BH508" i="35" s="1"/>
  <c r="AV508" i="35"/>
  <c r="BG508" i="35" s="1"/>
  <c r="AU508" i="35"/>
  <c r="BF508" i="35" s="1"/>
  <c r="AT508" i="35"/>
  <c r="BE508" i="35" s="1"/>
  <c r="AS508" i="35"/>
  <c r="BD508" i="35" s="1"/>
  <c r="AR508" i="35"/>
  <c r="BC508" i="35" s="1"/>
  <c r="AQ508" i="35"/>
  <c r="BB508" i="35" s="1"/>
  <c r="AP508" i="35"/>
  <c r="BA508" i="35" s="1"/>
  <c r="AO508" i="35"/>
  <c r="AZ508" i="35" s="1"/>
  <c r="AL508" i="35"/>
  <c r="AK508" i="35"/>
  <c r="AJ508" i="35"/>
  <c r="AI508" i="35"/>
  <c r="AH508" i="35"/>
  <c r="AG508" i="35"/>
  <c r="AF508" i="35"/>
  <c r="AE508" i="35"/>
  <c r="AD508" i="35"/>
  <c r="AW507" i="35"/>
  <c r="BH507" i="35" s="1"/>
  <c r="AV507" i="35"/>
  <c r="BG507" i="35" s="1"/>
  <c r="AU507" i="35"/>
  <c r="BF507" i="35" s="1"/>
  <c r="AT507" i="35"/>
  <c r="BE507" i="35" s="1"/>
  <c r="AS507" i="35"/>
  <c r="BD507" i="35" s="1"/>
  <c r="AR507" i="35"/>
  <c r="BC507" i="35" s="1"/>
  <c r="AQ507" i="35"/>
  <c r="BB507" i="35" s="1"/>
  <c r="AP507" i="35"/>
  <c r="BA507" i="35" s="1"/>
  <c r="AO507" i="35"/>
  <c r="AZ507" i="35" s="1"/>
  <c r="AL507" i="35"/>
  <c r="AK507" i="35"/>
  <c r="AJ507" i="35"/>
  <c r="AI507" i="35"/>
  <c r="AH507" i="35"/>
  <c r="AG507" i="35"/>
  <c r="AF507" i="35"/>
  <c r="AE507" i="35"/>
  <c r="AD507" i="35"/>
  <c r="BH506" i="35"/>
  <c r="AW506" i="35"/>
  <c r="AV506" i="35"/>
  <c r="BG506" i="35" s="1"/>
  <c r="AU506" i="35"/>
  <c r="BF506" i="35" s="1"/>
  <c r="AT506" i="35"/>
  <c r="BE506" i="35" s="1"/>
  <c r="AS506" i="35"/>
  <c r="BD506" i="35" s="1"/>
  <c r="AR506" i="35"/>
  <c r="BC506" i="35" s="1"/>
  <c r="AQ506" i="35"/>
  <c r="BB506" i="35" s="1"/>
  <c r="AP506" i="35"/>
  <c r="BA506" i="35" s="1"/>
  <c r="AO506" i="35"/>
  <c r="AZ506" i="35" s="1"/>
  <c r="AL506" i="35"/>
  <c r="AK506" i="35"/>
  <c r="AJ506" i="35"/>
  <c r="AI506" i="35"/>
  <c r="AH506" i="35"/>
  <c r="AG506" i="35"/>
  <c r="AF506" i="35"/>
  <c r="AE506" i="35"/>
  <c r="AD506" i="35"/>
  <c r="AW505" i="35"/>
  <c r="BH505" i="35" s="1"/>
  <c r="AV505" i="35"/>
  <c r="BG505" i="35" s="1"/>
  <c r="AU505" i="35"/>
  <c r="BF505" i="35" s="1"/>
  <c r="AT505" i="35"/>
  <c r="BE505" i="35" s="1"/>
  <c r="AS505" i="35"/>
  <c r="BD505" i="35" s="1"/>
  <c r="AR505" i="35"/>
  <c r="BC505" i="35" s="1"/>
  <c r="AQ505" i="35"/>
  <c r="BB505" i="35" s="1"/>
  <c r="AP505" i="35"/>
  <c r="BA505" i="35" s="1"/>
  <c r="AO505" i="35"/>
  <c r="AZ505" i="35" s="1"/>
  <c r="AL505" i="35"/>
  <c r="AK505" i="35"/>
  <c r="AJ505" i="35"/>
  <c r="AI505" i="35"/>
  <c r="AH505" i="35"/>
  <c r="AG505" i="35"/>
  <c r="AF505" i="35"/>
  <c r="AE505" i="35"/>
  <c r="AD505" i="35"/>
  <c r="BG504" i="35"/>
  <c r="AW504" i="35"/>
  <c r="BH504" i="35" s="1"/>
  <c r="AV504" i="35"/>
  <c r="AU504" i="35"/>
  <c r="BF504" i="35" s="1"/>
  <c r="AT504" i="35"/>
  <c r="BE504" i="35" s="1"/>
  <c r="AS504" i="35"/>
  <c r="BD504" i="35" s="1"/>
  <c r="AR504" i="35"/>
  <c r="BC504" i="35" s="1"/>
  <c r="AQ504" i="35"/>
  <c r="BB504" i="35" s="1"/>
  <c r="AP504" i="35"/>
  <c r="BA504" i="35" s="1"/>
  <c r="AO504" i="35"/>
  <c r="AZ504" i="35" s="1"/>
  <c r="AL504" i="35"/>
  <c r="AK504" i="35"/>
  <c r="AJ504" i="35"/>
  <c r="AI504" i="35"/>
  <c r="AH504" i="35"/>
  <c r="AG504" i="35"/>
  <c r="AF504" i="35"/>
  <c r="AE504" i="35"/>
  <c r="AD504" i="35"/>
  <c r="AW503" i="35"/>
  <c r="BH503" i="35" s="1"/>
  <c r="AV503" i="35"/>
  <c r="BG503" i="35" s="1"/>
  <c r="AU503" i="35"/>
  <c r="BF503" i="35" s="1"/>
  <c r="AT503" i="35"/>
  <c r="BE503" i="35" s="1"/>
  <c r="AS503" i="35"/>
  <c r="BD503" i="35" s="1"/>
  <c r="AR503" i="35"/>
  <c r="BC503" i="35" s="1"/>
  <c r="AQ503" i="35"/>
  <c r="BB503" i="35" s="1"/>
  <c r="AP503" i="35"/>
  <c r="BA503" i="35" s="1"/>
  <c r="AO503" i="35"/>
  <c r="AZ503" i="35" s="1"/>
  <c r="AL503" i="35"/>
  <c r="AK503" i="35"/>
  <c r="AJ503" i="35"/>
  <c r="AI503" i="35"/>
  <c r="AH503" i="35"/>
  <c r="AG503" i="35"/>
  <c r="AF503" i="35"/>
  <c r="AE503" i="35"/>
  <c r="AD503" i="35"/>
  <c r="AZ502" i="35"/>
  <c r="AW502" i="35"/>
  <c r="BH502" i="35" s="1"/>
  <c r="AV502" i="35"/>
  <c r="BG502" i="35" s="1"/>
  <c r="AU502" i="35"/>
  <c r="BF502" i="35" s="1"/>
  <c r="AT502" i="35"/>
  <c r="BE502" i="35" s="1"/>
  <c r="AS502" i="35"/>
  <c r="BD502" i="35" s="1"/>
  <c r="AR502" i="35"/>
  <c r="BC502" i="35" s="1"/>
  <c r="AQ502" i="35"/>
  <c r="BB502" i="35" s="1"/>
  <c r="AP502" i="35"/>
  <c r="BA502" i="35" s="1"/>
  <c r="AO502" i="35"/>
  <c r="AL502" i="35"/>
  <c r="AK502" i="35"/>
  <c r="AJ502" i="35"/>
  <c r="AI502" i="35"/>
  <c r="AH502" i="35"/>
  <c r="AG502" i="35"/>
  <c r="AF502" i="35"/>
  <c r="AE502" i="35"/>
  <c r="AD502" i="35"/>
  <c r="AW501" i="35"/>
  <c r="BH501" i="35" s="1"/>
  <c r="AV501" i="35"/>
  <c r="BG501" i="35" s="1"/>
  <c r="AU501" i="35"/>
  <c r="BF501" i="35" s="1"/>
  <c r="AT501" i="35"/>
  <c r="BE501" i="35" s="1"/>
  <c r="AS501" i="35"/>
  <c r="BD501" i="35" s="1"/>
  <c r="AR501" i="35"/>
  <c r="BC501" i="35" s="1"/>
  <c r="AQ501" i="35"/>
  <c r="BB501" i="35" s="1"/>
  <c r="AP501" i="35"/>
  <c r="BA501" i="35" s="1"/>
  <c r="AO501" i="35"/>
  <c r="AZ501" i="35" s="1"/>
  <c r="AL501" i="35"/>
  <c r="AK501" i="35"/>
  <c r="AJ501" i="35"/>
  <c r="AI501" i="35"/>
  <c r="AH501" i="35"/>
  <c r="AG501" i="35"/>
  <c r="AF501" i="35"/>
  <c r="AE501" i="35"/>
  <c r="AD501" i="35"/>
  <c r="AW500" i="35"/>
  <c r="BH500" i="35" s="1"/>
  <c r="AV500" i="35"/>
  <c r="BG500" i="35" s="1"/>
  <c r="AU500" i="35"/>
  <c r="BF500" i="35" s="1"/>
  <c r="AT500" i="35"/>
  <c r="BE500" i="35" s="1"/>
  <c r="AS500" i="35"/>
  <c r="BD500" i="35" s="1"/>
  <c r="AR500" i="35"/>
  <c r="BC500" i="35" s="1"/>
  <c r="AQ500" i="35"/>
  <c r="BB500" i="35" s="1"/>
  <c r="AP500" i="35"/>
  <c r="BA500" i="35" s="1"/>
  <c r="AO500" i="35"/>
  <c r="AZ500" i="35" s="1"/>
  <c r="AL500" i="35"/>
  <c r="AK500" i="35"/>
  <c r="AJ500" i="35"/>
  <c r="AI500" i="35"/>
  <c r="AH500" i="35"/>
  <c r="AG500" i="35"/>
  <c r="AF500" i="35"/>
  <c r="AE500" i="35"/>
  <c r="AD500" i="35"/>
  <c r="AW499" i="35"/>
  <c r="BH499" i="35" s="1"/>
  <c r="AV499" i="35"/>
  <c r="BG499" i="35" s="1"/>
  <c r="AU499" i="35"/>
  <c r="BF499" i="35" s="1"/>
  <c r="AT499" i="35"/>
  <c r="BE499" i="35" s="1"/>
  <c r="AS499" i="35"/>
  <c r="BD499" i="35" s="1"/>
  <c r="AR499" i="35"/>
  <c r="BC499" i="35" s="1"/>
  <c r="AQ499" i="35"/>
  <c r="BB499" i="35" s="1"/>
  <c r="AP499" i="35"/>
  <c r="BA499" i="35" s="1"/>
  <c r="AO499" i="35"/>
  <c r="AZ499" i="35" s="1"/>
  <c r="AL499" i="35"/>
  <c r="AK499" i="35"/>
  <c r="AJ499" i="35"/>
  <c r="AI499" i="35"/>
  <c r="AH499" i="35"/>
  <c r="AG499" i="35"/>
  <c r="AF499" i="35"/>
  <c r="AE499" i="35"/>
  <c r="AD499" i="35"/>
  <c r="AW498" i="35"/>
  <c r="BH498" i="35" s="1"/>
  <c r="AV498" i="35"/>
  <c r="BG498" i="35" s="1"/>
  <c r="AU498" i="35"/>
  <c r="BF498" i="35" s="1"/>
  <c r="AT498" i="35"/>
  <c r="BE498" i="35" s="1"/>
  <c r="AS498" i="35"/>
  <c r="BD498" i="35" s="1"/>
  <c r="AR498" i="35"/>
  <c r="BC498" i="35" s="1"/>
  <c r="AQ498" i="35"/>
  <c r="BB498" i="35" s="1"/>
  <c r="AP498" i="35"/>
  <c r="BA498" i="35" s="1"/>
  <c r="AO498" i="35"/>
  <c r="AZ498" i="35" s="1"/>
  <c r="AL498" i="35"/>
  <c r="AK498" i="35"/>
  <c r="AJ498" i="35"/>
  <c r="AI498" i="35"/>
  <c r="AH498" i="35"/>
  <c r="AG498" i="35"/>
  <c r="AF498" i="35"/>
  <c r="AE498" i="35"/>
  <c r="AD498" i="35"/>
  <c r="AW497" i="35"/>
  <c r="BH497" i="35" s="1"/>
  <c r="AV497" i="35"/>
  <c r="BG497" i="35" s="1"/>
  <c r="AU497" i="35"/>
  <c r="BF497" i="35" s="1"/>
  <c r="AT497" i="35"/>
  <c r="BE497" i="35" s="1"/>
  <c r="AS497" i="35"/>
  <c r="BD497" i="35" s="1"/>
  <c r="AR497" i="35"/>
  <c r="BC497" i="35" s="1"/>
  <c r="AQ497" i="35"/>
  <c r="BB497" i="35" s="1"/>
  <c r="AP497" i="35"/>
  <c r="BA497" i="35" s="1"/>
  <c r="AO497" i="35"/>
  <c r="AZ497" i="35" s="1"/>
  <c r="AL497" i="35"/>
  <c r="AK497" i="35"/>
  <c r="AJ497" i="35"/>
  <c r="AI497" i="35"/>
  <c r="AH497" i="35"/>
  <c r="AG497" i="35"/>
  <c r="AF497" i="35"/>
  <c r="AE497" i="35"/>
  <c r="AD497" i="35"/>
  <c r="AW496" i="35"/>
  <c r="BH496" i="35" s="1"/>
  <c r="AV496" i="35"/>
  <c r="BG496" i="35" s="1"/>
  <c r="AU496" i="35"/>
  <c r="BF496" i="35" s="1"/>
  <c r="AT496" i="35"/>
  <c r="BE496" i="35" s="1"/>
  <c r="AS496" i="35"/>
  <c r="BD496" i="35" s="1"/>
  <c r="AR496" i="35"/>
  <c r="BC496" i="35" s="1"/>
  <c r="AQ496" i="35"/>
  <c r="BB496" i="35" s="1"/>
  <c r="AP496" i="35"/>
  <c r="BA496" i="35" s="1"/>
  <c r="AO496" i="35"/>
  <c r="AZ496" i="35" s="1"/>
  <c r="AL496" i="35"/>
  <c r="AK496" i="35"/>
  <c r="AJ496" i="35"/>
  <c r="AI496" i="35"/>
  <c r="AH496" i="35"/>
  <c r="AG496" i="35"/>
  <c r="AF496" i="35"/>
  <c r="AE496" i="35"/>
  <c r="AD496" i="35"/>
  <c r="AW495" i="35"/>
  <c r="BH495" i="35" s="1"/>
  <c r="AV495" i="35"/>
  <c r="BG495" i="35" s="1"/>
  <c r="AU495" i="35"/>
  <c r="BF495" i="35" s="1"/>
  <c r="AT495" i="35"/>
  <c r="BE495" i="35" s="1"/>
  <c r="AS495" i="35"/>
  <c r="BD495" i="35" s="1"/>
  <c r="AR495" i="35"/>
  <c r="BC495" i="35" s="1"/>
  <c r="AQ495" i="35"/>
  <c r="BB495" i="35" s="1"/>
  <c r="AP495" i="35"/>
  <c r="BA495" i="35" s="1"/>
  <c r="AO495" i="35"/>
  <c r="AZ495" i="35" s="1"/>
  <c r="AL495" i="35"/>
  <c r="AK495" i="35"/>
  <c r="AJ495" i="35"/>
  <c r="AI495" i="35"/>
  <c r="AH495" i="35"/>
  <c r="AG495" i="35"/>
  <c r="AF495" i="35"/>
  <c r="AE495" i="35"/>
  <c r="AD495" i="35"/>
  <c r="AW494" i="35"/>
  <c r="BH494" i="35" s="1"/>
  <c r="AV494" i="35"/>
  <c r="BG494" i="35" s="1"/>
  <c r="AU494" i="35"/>
  <c r="BF494" i="35" s="1"/>
  <c r="AT494" i="35"/>
  <c r="BE494" i="35" s="1"/>
  <c r="AS494" i="35"/>
  <c r="BD494" i="35" s="1"/>
  <c r="AR494" i="35"/>
  <c r="BC494" i="35" s="1"/>
  <c r="AQ494" i="35"/>
  <c r="BB494" i="35" s="1"/>
  <c r="AP494" i="35"/>
  <c r="BA494" i="35" s="1"/>
  <c r="AO494" i="35"/>
  <c r="AZ494" i="35" s="1"/>
  <c r="AL494" i="35"/>
  <c r="AK494" i="35"/>
  <c r="AJ494" i="35"/>
  <c r="AI494" i="35"/>
  <c r="AH494" i="35"/>
  <c r="AG494" i="35"/>
  <c r="AF494" i="35"/>
  <c r="AE494" i="35"/>
  <c r="AD494" i="35"/>
  <c r="AW493" i="35"/>
  <c r="BH493" i="35" s="1"/>
  <c r="AV493" i="35"/>
  <c r="BG493" i="35" s="1"/>
  <c r="AU493" i="35"/>
  <c r="BF493" i="35" s="1"/>
  <c r="AT493" i="35"/>
  <c r="BE493" i="35" s="1"/>
  <c r="AS493" i="35"/>
  <c r="BD493" i="35" s="1"/>
  <c r="AR493" i="35"/>
  <c r="BC493" i="35" s="1"/>
  <c r="AQ493" i="35"/>
  <c r="BB493" i="35" s="1"/>
  <c r="AP493" i="35"/>
  <c r="BA493" i="35" s="1"/>
  <c r="AO493" i="35"/>
  <c r="AZ493" i="35" s="1"/>
  <c r="AL493" i="35"/>
  <c r="AK493" i="35"/>
  <c r="AJ493" i="35"/>
  <c r="AI493" i="35"/>
  <c r="AH493" i="35"/>
  <c r="AG493" i="35"/>
  <c r="AF493" i="35"/>
  <c r="AE493" i="35"/>
  <c r="AD493" i="35"/>
  <c r="AW492" i="35"/>
  <c r="BH492" i="35" s="1"/>
  <c r="AV492" i="35"/>
  <c r="BG492" i="35" s="1"/>
  <c r="AU492" i="35"/>
  <c r="BF492" i="35" s="1"/>
  <c r="AT492" i="35"/>
  <c r="BE492" i="35" s="1"/>
  <c r="AS492" i="35"/>
  <c r="BD492" i="35" s="1"/>
  <c r="AR492" i="35"/>
  <c r="BC492" i="35" s="1"/>
  <c r="AQ492" i="35"/>
  <c r="BB492" i="35" s="1"/>
  <c r="AP492" i="35"/>
  <c r="BA492" i="35" s="1"/>
  <c r="AO492" i="35"/>
  <c r="AZ492" i="35" s="1"/>
  <c r="AL492" i="35"/>
  <c r="AK492" i="35"/>
  <c r="AJ492" i="35"/>
  <c r="AI492" i="35"/>
  <c r="AH492" i="35"/>
  <c r="AG492" i="35"/>
  <c r="AF492" i="35"/>
  <c r="AE492" i="35"/>
  <c r="AD492" i="35"/>
  <c r="AW491" i="35"/>
  <c r="BH491" i="35" s="1"/>
  <c r="AV491" i="35"/>
  <c r="BG491" i="35" s="1"/>
  <c r="AU491" i="35"/>
  <c r="BF491" i="35" s="1"/>
  <c r="AT491" i="35"/>
  <c r="BE491" i="35" s="1"/>
  <c r="AS491" i="35"/>
  <c r="BD491" i="35" s="1"/>
  <c r="AR491" i="35"/>
  <c r="BC491" i="35" s="1"/>
  <c r="AQ491" i="35"/>
  <c r="BB491" i="35" s="1"/>
  <c r="AP491" i="35"/>
  <c r="BA491" i="35" s="1"/>
  <c r="AO491" i="35"/>
  <c r="AZ491" i="35" s="1"/>
  <c r="AL491" i="35"/>
  <c r="AK491" i="35"/>
  <c r="AJ491" i="35"/>
  <c r="AI491" i="35"/>
  <c r="AH491" i="35"/>
  <c r="AG491" i="35"/>
  <c r="AF491" i="35"/>
  <c r="AE491" i="35"/>
  <c r="AD491" i="35"/>
  <c r="AW490" i="35"/>
  <c r="BH490" i="35" s="1"/>
  <c r="AV490" i="35"/>
  <c r="BG490" i="35" s="1"/>
  <c r="AU490" i="35"/>
  <c r="BF490" i="35" s="1"/>
  <c r="AT490" i="35"/>
  <c r="BE490" i="35" s="1"/>
  <c r="AS490" i="35"/>
  <c r="BD490" i="35" s="1"/>
  <c r="AR490" i="35"/>
  <c r="BC490" i="35" s="1"/>
  <c r="AQ490" i="35"/>
  <c r="BB490" i="35" s="1"/>
  <c r="AP490" i="35"/>
  <c r="BA490" i="35" s="1"/>
  <c r="AO490" i="35"/>
  <c r="AZ490" i="35" s="1"/>
  <c r="AL490" i="35"/>
  <c r="AK490" i="35"/>
  <c r="AJ490" i="35"/>
  <c r="AI490" i="35"/>
  <c r="AH490" i="35"/>
  <c r="AG490" i="35"/>
  <c r="AF490" i="35"/>
  <c r="AE490" i="35"/>
  <c r="AD490" i="35"/>
  <c r="AW489" i="35"/>
  <c r="BH489" i="35" s="1"/>
  <c r="AV489" i="35"/>
  <c r="BG489" i="35" s="1"/>
  <c r="AU489" i="35"/>
  <c r="BF489" i="35" s="1"/>
  <c r="AT489" i="35"/>
  <c r="BE489" i="35" s="1"/>
  <c r="AS489" i="35"/>
  <c r="BD489" i="35" s="1"/>
  <c r="AR489" i="35"/>
  <c r="BC489" i="35" s="1"/>
  <c r="AQ489" i="35"/>
  <c r="BB489" i="35" s="1"/>
  <c r="AP489" i="35"/>
  <c r="BA489" i="35" s="1"/>
  <c r="AO489" i="35"/>
  <c r="AZ489" i="35" s="1"/>
  <c r="AL489" i="35"/>
  <c r="AK489" i="35"/>
  <c r="AJ489" i="35"/>
  <c r="AI489" i="35"/>
  <c r="AH489" i="35"/>
  <c r="AG489" i="35"/>
  <c r="AF489" i="35"/>
  <c r="AE489" i="35"/>
  <c r="AD489" i="35"/>
  <c r="AW488" i="35"/>
  <c r="BH488" i="35" s="1"/>
  <c r="AV488" i="35"/>
  <c r="BG488" i="35" s="1"/>
  <c r="AU488" i="35"/>
  <c r="BF488" i="35" s="1"/>
  <c r="AT488" i="35"/>
  <c r="BE488" i="35" s="1"/>
  <c r="AS488" i="35"/>
  <c r="BD488" i="35" s="1"/>
  <c r="AR488" i="35"/>
  <c r="BC488" i="35" s="1"/>
  <c r="AQ488" i="35"/>
  <c r="BB488" i="35" s="1"/>
  <c r="AP488" i="35"/>
  <c r="BA488" i="35" s="1"/>
  <c r="AO488" i="35"/>
  <c r="AZ488" i="35" s="1"/>
  <c r="AL488" i="35"/>
  <c r="AK488" i="35"/>
  <c r="AJ488" i="35"/>
  <c r="AI488" i="35"/>
  <c r="AH488" i="35"/>
  <c r="AG488" i="35"/>
  <c r="AF488" i="35"/>
  <c r="AE488" i="35"/>
  <c r="AD488" i="35"/>
  <c r="BE487" i="35"/>
  <c r="AW487" i="35"/>
  <c r="BH487" i="35" s="1"/>
  <c r="AV487" i="35"/>
  <c r="BG487" i="35" s="1"/>
  <c r="AU487" i="35"/>
  <c r="BF487" i="35" s="1"/>
  <c r="AT487" i="35"/>
  <c r="AS487" i="35"/>
  <c r="BD487" i="35" s="1"/>
  <c r="AR487" i="35"/>
  <c r="BC487" i="35" s="1"/>
  <c r="AQ487" i="35"/>
  <c r="BB487" i="35" s="1"/>
  <c r="AP487" i="35"/>
  <c r="BA487" i="35" s="1"/>
  <c r="AO487" i="35"/>
  <c r="AZ487" i="35" s="1"/>
  <c r="AL487" i="35"/>
  <c r="AK487" i="35"/>
  <c r="AJ487" i="35"/>
  <c r="AI487" i="35"/>
  <c r="AH487" i="35"/>
  <c r="AG487" i="35"/>
  <c r="AF487" i="35"/>
  <c r="AE487" i="35"/>
  <c r="AD487" i="35"/>
  <c r="AW486" i="35"/>
  <c r="BH486" i="35" s="1"/>
  <c r="AV486" i="35"/>
  <c r="BG486" i="35" s="1"/>
  <c r="AU486" i="35"/>
  <c r="BF486" i="35" s="1"/>
  <c r="AT486" i="35"/>
  <c r="BE486" i="35" s="1"/>
  <c r="AS486" i="35"/>
  <c r="BD486" i="35" s="1"/>
  <c r="AR486" i="35"/>
  <c r="BC486" i="35" s="1"/>
  <c r="AQ486" i="35"/>
  <c r="BB486" i="35" s="1"/>
  <c r="AP486" i="35"/>
  <c r="BA486" i="35" s="1"/>
  <c r="AO486" i="35"/>
  <c r="AZ486" i="35" s="1"/>
  <c r="AL486" i="35"/>
  <c r="AK486" i="35"/>
  <c r="AJ486" i="35"/>
  <c r="AI486" i="35"/>
  <c r="AH486" i="35"/>
  <c r="AG486" i="35"/>
  <c r="AF486" i="35"/>
  <c r="AE486" i="35"/>
  <c r="AD486" i="35"/>
  <c r="BC484" i="35"/>
  <c r="AW484" i="35"/>
  <c r="BH484" i="35" s="1"/>
  <c r="AV484" i="35"/>
  <c r="BG484" i="35" s="1"/>
  <c r="AU484" i="35"/>
  <c r="BF484" i="35" s="1"/>
  <c r="AT484" i="35"/>
  <c r="BE484" i="35" s="1"/>
  <c r="AS484" i="35"/>
  <c r="BD484" i="35" s="1"/>
  <c r="AR484" i="35"/>
  <c r="AQ484" i="35"/>
  <c r="BB484" i="35" s="1"/>
  <c r="AP484" i="35"/>
  <c r="BA484" i="35" s="1"/>
  <c r="AO484" i="35"/>
  <c r="AZ484" i="35" s="1"/>
  <c r="AL484" i="35"/>
  <c r="AK484" i="35"/>
  <c r="AJ484" i="35"/>
  <c r="AI484" i="35"/>
  <c r="AH484" i="35"/>
  <c r="AG484" i="35"/>
  <c r="AF484" i="35"/>
  <c r="AE484" i="35"/>
  <c r="AD484" i="35"/>
  <c r="AW483" i="35"/>
  <c r="BH483" i="35" s="1"/>
  <c r="AV483" i="35"/>
  <c r="BG483" i="35" s="1"/>
  <c r="AU483" i="35"/>
  <c r="BF483" i="35" s="1"/>
  <c r="AT483" i="35"/>
  <c r="BE483" i="35" s="1"/>
  <c r="AS483" i="35"/>
  <c r="BD483" i="35" s="1"/>
  <c r="AR483" i="35"/>
  <c r="BC483" i="35" s="1"/>
  <c r="AQ483" i="35"/>
  <c r="BB483" i="35" s="1"/>
  <c r="AP483" i="35"/>
  <c r="BA483" i="35" s="1"/>
  <c r="AO483" i="35"/>
  <c r="AZ483" i="35" s="1"/>
  <c r="AL483" i="35"/>
  <c r="AK483" i="35"/>
  <c r="AJ483" i="35"/>
  <c r="AI483" i="35"/>
  <c r="AH483" i="35"/>
  <c r="AG483" i="35"/>
  <c r="AF483" i="35"/>
  <c r="AE483" i="35"/>
  <c r="AD483" i="35"/>
  <c r="AW482" i="35"/>
  <c r="BH482" i="35" s="1"/>
  <c r="AV482" i="35"/>
  <c r="BG482" i="35" s="1"/>
  <c r="AU482" i="35"/>
  <c r="BF482" i="35" s="1"/>
  <c r="AT482" i="35"/>
  <c r="BE482" i="35" s="1"/>
  <c r="AS482" i="35"/>
  <c r="BD482" i="35" s="1"/>
  <c r="AR482" i="35"/>
  <c r="BC482" i="35" s="1"/>
  <c r="AQ482" i="35"/>
  <c r="BB482" i="35" s="1"/>
  <c r="AP482" i="35"/>
  <c r="BA482" i="35" s="1"/>
  <c r="AO482" i="35"/>
  <c r="AZ482" i="35" s="1"/>
  <c r="AL482" i="35"/>
  <c r="AK482" i="35"/>
  <c r="AJ482" i="35"/>
  <c r="AI482" i="35"/>
  <c r="AH482" i="35"/>
  <c r="AG482" i="35"/>
  <c r="AF482" i="35"/>
  <c r="AE482" i="35"/>
  <c r="AD482" i="35"/>
  <c r="AW481" i="35"/>
  <c r="BH481" i="35" s="1"/>
  <c r="AV481" i="35"/>
  <c r="BG481" i="35" s="1"/>
  <c r="AU481" i="35"/>
  <c r="BF481" i="35" s="1"/>
  <c r="AT481" i="35"/>
  <c r="BE481" i="35" s="1"/>
  <c r="AS481" i="35"/>
  <c r="BD481" i="35" s="1"/>
  <c r="AR481" i="35"/>
  <c r="BC481" i="35" s="1"/>
  <c r="AQ481" i="35"/>
  <c r="BB481" i="35" s="1"/>
  <c r="AP481" i="35"/>
  <c r="BA481" i="35" s="1"/>
  <c r="AO481" i="35"/>
  <c r="AZ481" i="35" s="1"/>
  <c r="AL481" i="35"/>
  <c r="AK481" i="35"/>
  <c r="AJ481" i="35"/>
  <c r="AI481" i="35"/>
  <c r="AH481" i="35"/>
  <c r="AG481" i="35"/>
  <c r="AF481" i="35"/>
  <c r="AE481" i="35"/>
  <c r="AD481" i="35"/>
  <c r="AW480" i="35"/>
  <c r="BH480" i="35" s="1"/>
  <c r="AV480" i="35"/>
  <c r="BG480" i="35" s="1"/>
  <c r="AU480" i="35"/>
  <c r="BF480" i="35" s="1"/>
  <c r="AT480" i="35"/>
  <c r="BE480" i="35" s="1"/>
  <c r="AS480" i="35"/>
  <c r="BD480" i="35" s="1"/>
  <c r="AR480" i="35"/>
  <c r="BC480" i="35" s="1"/>
  <c r="AQ480" i="35"/>
  <c r="BB480" i="35" s="1"/>
  <c r="AP480" i="35"/>
  <c r="BA480" i="35" s="1"/>
  <c r="AO480" i="35"/>
  <c r="AZ480" i="35" s="1"/>
  <c r="AL480" i="35"/>
  <c r="AK480" i="35"/>
  <c r="AJ480" i="35"/>
  <c r="AI480" i="35"/>
  <c r="AH480" i="35"/>
  <c r="AG480" i="35"/>
  <c r="AF480" i="35"/>
  <c r="AE480" i="35"/>
  <c r="AD480" i="35"/>
  <c r="AW479" i="35"/>
  <c r="BH479" i="35" s="1"/>
  <c r="AV479" i="35"/>
  <c r="BG479" i="35" s="1"/>
  <c r="AU479" i="35"/>
  <c r="BF479" i="35" s="1"/>
  <c r="AT479" i="35"/>
  <c r="BE479" i="35" s="1"/>
  <c r="AS479" i="35"/>
  <c r="BD479" i="35" s="1"/>
  <c r="AR479" i="35"/>
  <c r="BC479" i="35" s="1"/>
  <c r="AQ479" i="35"/>
  <c r="BB479" i="35" s="1"/>
  <c r="AP479" i="35"/>
  <c r="BA479" i="35" s="1"/>
  <c r="AO479" i="35"/>
  <c r="AZ479" i="35" s="1"/>
  <c r="AL479" i="35"/>
  <c r="AK479" i="35"/>
  <c r="AJ479" i="35"/>
  <c r="AI479" i="35"/>
  <c r="AH479" i="35"/>
  <c r="AG479" i="35"/>
  <c r="AF479" i="35"/>
  <c r="AE479" i="35"/>
  <c r="AD479" i="35"/>
  <c r="AW478" i="35"/>
  <c r="BH478" i="35" s="1"/>
  <c r="AV478" i="35"/>
  <c r="BG478" i="35" s="1"/>
  <c r="AU478" i="35"/>
  <c r="BF478" i="35" s="1"/>
  <c r="AT478" i="35"/>
  <c r="BE478" i="35" s="1"/>
  <c r="AS478" i="35"/>
  <c r="BD478" i="35" s="1"/>
  <c r="AR478" i="35"/>
  <c r="BC478" i="35" s="1"/>
  <c r="AQ478" i="35"/>
  <c r="BB478" i="35" s="1"/>
  <c r="AP478" i="35"/>
  <c r="BA478" i="35" s="1"/>
  <c r="AO478" i="35"/>
  <c r="AZ478" i="35" s="1"/>
  <c r="AL478" i="35"/>
  <c r="AK478" i="35"/>
  <c r="AJ478" i="35"/>
  <c r="AI478" i="35"/>
  <c r="AH478" i="35"/>
  <c r="AG478" i="35"/>
  <c r="AF478" i="35"/>
  <c r="AE478" i="35"/>
  <c r="AD478" i="35"/>
  <c r="AZ477" i="35"/>
  <c r="AW477" i="35"/>
  <c r="BH477" i="35" s="1"/>
  <c r="AV477" i="35"/>
  <c r="BG477" i="35" s="1"/>
  <c r="AU477" i="35"/>
  <c r="BF477" i="35" s="1"/>
  <c r="AT477" i="35"/>
  <c r="BE477" i="35" s="1"/>
  <c r="AS477" i="35"/>
  <c r="BD477" i="35" s="1"/>
  <c r="AR477" i="35"/>
  <c r="BC477" i="35" s="1"/>
  <c r="AQ477" i="35"/>
  <c r="BB477" i="35" s="1"/>
  <c r="AP477" i="35"/>
  <c r="BA477" i="35" s="1"/>
  <c r="AO477" i="35"/>
  <c r="AL477" i="35"/>
  <c r="AK477" i="35"/>
  <c r="AJ477" i="35"/>
  <c r="AI477" i="35"/>
  <c r="AH477" i="35"/>
  <c r="AG477" i="35"/>
  <c r="AF477" i="35"/>
  <c r="AE477" i="35"/>
  <c r="AD477" i="35"/>
  <c r="BC476" i="35"/>
  <c r="AW476" i="35"/>
  <c r="BH476" i="35" s="1"/>
  <c r="AV476" i="35"/>
  <c r="BG476" i="35" s="1"/>
  <c r="AU476" i="35"/>
  <c r="BF476" i="35" s="1"/>
  <c r="AT476" i="35"/>
  <c r="BE476" i="35" s="1"/>
  <c r="AS476" i="35"/>
  <c r="BD476" i="35" s="1"/>
  <c r="AR476" i="35"/>
  <c r="AQ476" i="35"/>
  <c r="BB476" i="35" s="1"/>
  <c r="AP476" i="35"/>
  <c r="BA476" i="35" s="1"/>
  <c r="AO476" i="35"/>
  <c r="AZ476" i="35" s="1"/>
  <c r="AL476" i="35"/>
  <c r="AK476" i="35"/>
  <c r="AJ476" i="35"/>
  <c r="AI476" i="35"/>
  <c r="AH476" i="35"/>
  <c r="AG476" i="35"/>
  <c r="AF476" i="35"/>
  <c r="AE476" i="35"/>
  <c r="AD476" i="35"/>
  <c r="BF475" i="35"/>
  <c r="AW475" i="35"/>
  <c r="BH475" i="35" s="1"/>
  <c r="AV475" i="35"/>
  <c r="BG475" i="35" s="1"/>
  <c r="AU475" i="35"/>
  <c r="AT475" i="35"/>
  <c r="BE475" i="35" s="1"/>
  <c r="AS475" i="35"/>
  <c r="BD475" i="35" s="1"/>
  <c r="AR475" i="35"/>
  <c r="BC475" i="35" s="1"/>
  <c r="AQ475" i="35"/>
  <c r="BB475" i="35" s="1"/>
  <c r="AP475" i="35"/>
  <c r="BA475" i="35" s="1"/>
  <c r="AO475" i="35"/>
  <c r="AZ475" i="35" s="1"/>
  <c r="AL475" i="35"/>
  <c r="AK475" i="35"/>
  <c r="AJ475" i="35"/>
  <c r="AI475" i="35"/>
  <c r="AH475" i="35"/>
  <c r="AG475" i="35"/>
  <c r="AF475" i="35"/>
  <c r="AE475" i="35"/>
  <c r="AD475" i="35"/>
  <c r="AW474" i="35"/>
  <c r="BH474" i="35" s="1"/>
  <c r="AV474" i="35"/>
  <c r="BG474" i="35" s="1"/>
  <c r="AU474" i="35"/>
  <c r="BF474" i="35" s="1"/>
  <c r="AT474" i="35"/>
  <c r="BE474" i="35" s="1"/>
  <c r="AS474" i="35"/>
  <c r="BD474" i="35" s="1"/>
  <c r="AR474" i="35"/>
  <c r="BC474" i="35" s="1"/>
  <c r="AQ474" i="35"/>
  <c r="BB474" i="35" s="1"/>
  <c r="AP474" i="35"/>
  <c r="BA474" i="35" s="1"/>
  <c r="AO474" i="35"/>
  <c r="AZ474" i="35" s="1"/>
  <c r="AL474" i="35"/>
  <c r="AK474" i="35"/>
  <c r="AJ474" i="35"/>
  <c r="AI474" i="35"/>
  <c r="AH474" i="35"/>
  <c r="AG474" i="35"/>
  <c r="AF474" i="35"/>
  <c r="AE474" i="35"/>
  <c r="AD474" i="35"/>
  <c r="BE473" i="35"/>
  <c r="AW473" i="35"/>
  <c r="BH473" i="35" s="1"/>
  <c r="AV473" i="35"/>
  <c r="BG473" i="35" s="1"/>
  <c r="AU473" i="35"/>
  <c r="BF473" i="35" s="1"/>
  <c r="AT473" i="35"/>
  <c r="AS473" i="35"/>
  <c r="BD473" i="35" s="1"/>
  <c r="AR473" i="35"/>
  <c r="BC473" i="35" s="1"/>
  <c r="AQ473" i="35"/>
  <c r="BB473" i="35" s="1"/>
  <c r="AP473" i="35"/>
  <c r="BA473" i="35" s="1"/>
  <c r="AO473" i="35"/>
  <c r="AZ473" i="35" s="1"/>
  <c r="AL473" i="35"/>
  <c r="AK473" i="35"/>
  <c r="AJ473" i="35"/>
  <c r="AI473" i="35"/>
  <c r="AH473" i="35"/>
  <c r="AG473" i="35"/>
  <c r="AF473" i="35"/>
  <c r="AE473" i="35"/>
  <c r="AD473" i="35"/>
  <c r="AW472" i="35"/>
  <c r="BH472" i="35" s="1"/>
  <c r="AV472" i="35"/>
  <c r="BG472" i="35" s="1"/>
  <c r="AU472" i="35"/>
  <c r="BF472" i="35" s="1"/>
  <c r="AT472" i="35"/>
  <c r="BE472" i="35" s="1"/>
  <c r="AS472" i="35"/>
  <c r="BD472" i="35" s="1"/>
  <c r="AR472" i="35"/>
  <c r="BC472" i="35" s="1"/>
  <c r="AQ472" i="35"/>
  <c r="BB472" i="35" s="1"/>
  <c r="AP472" i="35"/>
  <c r="BA472" i="35" s="1"/>
  <c r="AO472" i="35"/>
  <c r="AZ472" i="35" s="1"/>
  <c r="AL472" i="35"/>
  <c r="AK472" i="35"/>
  <c r="AJ472" i="35"/>
  <c r="AI472" i="35"/>
  <c r="AH472" i="35"/>
  <c r="AG472" i="35"/>
  <c r="AF472" i="35"/>
  <c r="AE472" i="35"/>
  <c r="AD472" i="35"/>
  <c r="AW471" i="35"/>
  <c r="BH471" i="35" s="1"/>
  <c r="AV471" i="35"/>
  <c r="BG471" i="35" s="1"/>
  <c r="AU471" i="35"/>
  <c r="BF471" i="35" s="1"/>
  <c r="AT471" i="35"/>
  <c r="BE471" i="35" s="1"/>
  <c r="AS471" i="35"/>
  <c r="BD471" i="35" s="1"/>
  <c r="AR471" i="35"/>
  <c r="BC471" i="35" s="1"/>
  <c r="AQ471" i="35"/>
  <c r="BB471" i="35" s="1"/>
  <c r="AP471" i="35"/>
  <c r="BA471" i="35" s="1"/>
  <c r="AO471" i="35"/>
  <c r="AZ471" i="35" s="1"/>
  <c r="AL471" i="35"/>
  <c r="AK471" i="35"/>
  <c r="AJ471" i="35"/>
  <c r="AI471" i="35"/>
  <c r="AH471" i="35"/>
  <c r="AG471" i="35"/>
  <c r="AF471" i="35"/>
  <c r="AE471" i="35"/>
  <c r="AD471" i="35"/>
  <c r="AW470" i="35"/>
  <c r="BH470" i="35" s="1"/>
  <c r="AV470" i="35"/>
  <c r="BG470" i="35" s="1"/>
  <c r="AU470" i="35"/>
  <c r="BF470" i="35" s="1"/>
  <c r="AT470" i="35"/>
  <c r="BE470" i="35" s="1"/>
  <c r="AS470" i="35"/>
  <c r="BD470" i="35" s="1"/>
  <c r="AR470" i="35"/>
  <c r="BC470" i="35" s="1"/>
  <c r="AQ470" i="35"/>
  <c r="BB470" i="35" s="1"/>
  <c r="AP470" i="35"/>
  <c r="BA470" i="35" s="1"/>
  <c r="AO470" i="35"/>
  <c r="AZ470" i="35" s="1"/>
  <c r="AL470" i="35"/>
  <c r="AK470" i="35"/>
  <c r="AJ470" i="35"/>
  <c r="AI470" i="35"/>
  <c r="AH470" i="35"/>
  <c r="AG470" i="35"/>
  <c r="AF470" i="35"/>
  <c r="AE470" i="35"/>
  <c r="AD470" i="35"/>
  <c r="AW469" i="35"/>
  <c r="BH469" i="35" s="1"/>
  <c r="AV469" i="35"/>
  <c r="BG469" i="35" s="1"/>
  <c r="AU469" i="35"/>
  <c r="BF469" i="35" s="1"/>
  <c r="AT469" i="35"/>
  <c r="BE469" i="35" s="1"/>
  <c r="AS469" i="35"/>
  <c r="BD469" i="35" s="1"/>
  <c r="AR469" i="35"/>
  <c r="BC469" i="35" s="1"/>
  <c r="AQ469" i="35"/>
  <c r="BB469" i="35" s="1"/>
  <c r="AP469" i="35"/>
  <c r="BA469" i="35" s="1"/>
  <c r="AO469" i="35"/>
  <c r="AZ469" i="35" s="1"/>
  <c r="AL469" i="35"/>
  <c r="AK469" i="35"/>
  <c r="AJ469" i="35"/>
  <c r="AI469" i="35"/>
  <c r="AH469" i="35"/>
  <c r="AG469" i="35"/>
  <c r="AF469" i="35"/>
  <c r="AE469" i="35"/>
  <c r="AD469" i="35"/>
  <c r="BF468" i="35"/>
  <c r="AW468" i="35"/>
  <c r="BH468" i="35" s="1"/>
  <c r="AV468" i="35"/>
  <c r="BG468" i="35" s="1"/>
  <c r="AU468" i="35"/>
  <c r="AT468" i="35"/>
  <c r="BE468" i="35" s="1"/>
  <c r="AS468" i="35"/>
  <c r="BD468" i="35" s="1"/>
  <c r="AR468" i="35"/>
  <c r="BC468" i="35" s="1"/>
  <c r="AQ468" i="35"/>
  <c r="BB468" i="35" s="1"/>
  <c r="AP468" i="35"/>
  <c r="BA468" i="35" s="1"/>
  <c r="AO468" i="35"/>
  <c r="AZ468" i="35" s="1"/>
  <c r="AL468" i="35"/>
  <c r="AK468" i="35"/>
  <c r="AJ468" i="35"/>
  <c r="AI468" i="35"/>
  <c r="AH468" i="35"/>
  <c r="AG468" i="35"/>
  <c r="AF468" i="35"/>
  <c r="AE468" i="35"/>
  <c r="AD468" i="35"/>
  <c r="AW467" i="35"/>
  <c r="BH467" i="35" s="1"/>
  <c r="AV467" i="35"/>
  <c r="BG467" i="35" s="1"/>
  <c r="AU467" i="35"/>
  <c r="BF467" i="35" s="1"/>
  <c r="AT467" i="35"/>
  <c r="BE467" i="35" s="1"/>
  <c r="AS467" i="35"/>
  <c r="BD467" i="35" s="1"/>
  <c r="AR467" i="35"/>
  <c r="BC467" i="35" s="1"/>
  <c r="AQ467" i="35"/>
  <c r="BB467" i="35" s="1"/>
  <c r="AP467" i="35"/>
  <c r="BA467" i="35" s="1"/>
  <c r="AO467" i="35"/>
  <c r="AZ467" i="35" s="1"/>
  <c r="AL467" i="35"/>
  <c r="AK467" i="35"/>
  <c r="AJ467" i="35"/>
  <c r="AI467" i="35"/>
  <c r="AH467" i="35"/>
  <c r="AG467" i="35"/>
  <c r="AF467" i="35"/>
  <c r="AE467" i="35"/>
  <c r="AD467" i="35"/>
  <c r="AZ466" i="35"/>
  <c r="AW466" i="35"/>
  <c r="BH466" i="35" s="1"/>
  <c r="AV466" i="35"/>
  <c r="BG466" i="35" s="1"/>
  <c r="AU466" i="35"/>
  <c r="BF466" i="35" s="1"/>
  <c r="AT466" i="35"/>
  <c r="BE466" i="35" s="1"/>
  <c r="AS466" i="35"/>
  <c r="BD466" i="35" s="1"/>
  <c r="AR466" i="35"/>
  <c r="BC466" i="35" s="1"/>
  <c r="AQ466" i="35"/>
  <c r="BB466" i="35" s="1"/>
  <c r="AP466" i="35"/>
  <c r="BA466" i="35" s="1"/>
  <c r="AO466" i="35"/>
  <c r="AL466" i="35"/>
  <c r="AK466" i="35"/>
  <c r="AJ466" i="35"/>
  <c r="AI466" i="35"/>
  <c r="AH466" i="35"/>
  <c r="AG466" i="35"/>
  <c r="AF466" i="35"/>
  <c r="AE466" i="35"/>
  <c r="AD466" i="35"/>
  <c r="AW465" i="35"/>
  <c r="BH465" i="35" s="1"/>
  <c r="AV465" i="35"/>
  <c r="BG465" i="35" s="1"/>
  <c r="AU465" i="35"/>
  <c r="BF465" i="35" s="1"/>
  <c r="AT465" i="35"/>
  <c r="BE465" i="35" s="1"/>
  <c r="AS465" i="35"/>
  <c r="BD465" i="35" s="1"/>
  <c r="AR465" i="35"/>
  <c r="BC465" i="35" s="1"/>
  <c r="AQ465" i="35"/>
  <c r="BB465" i="35" s="1"/>
  <c r="AP465" i="35"/>
  <c r="BA465" i="35" s="1"/>
  <c r="AO465" i="35"/>
  <c r="AZ465" i="35" s="1"/>
  <c r="AL465" i="35"/>
  <c r="AK465" i="35"/>
  <c r="AJ465" i="35"/>
  <c r="AI465" i="35"/>
  <c r="AH465" i="35"/>
  <c r="AG465" i="35"/>
  <c r="AF465" i="35"/>
  <c r="AE465" i="35"/>
  <c r="AD465" i="35"/>
  <c r="AW464" i="35"/>
  <c r="BH464" i="35" s="1"/>
  <c r="AV464" i="35"/>
  <c r="BG464" i="35" s="1"/>
  <c r="AU464" i="35"/>
  <c r="BF464" i="35" s="1"/>
  <c r="AT464" i="35"/>
  <c r="BE464" i="35" s="1"/>
  <c r="AS464" i="35"/>
  <c r="BD464" i="35" s="1"/>
  <c r="AR464" i="35"/>
  <c r="BC464" i="35" s="1"/>
  <c r="AQ464" i="35"/>
  <c r="BB464" i="35" s="1"/>
  <c r="AP464" i="35"/>
  <c r="BA464" i="35" s="1"/>
  <c r="AO464" i="35"/>
  <c r="AZ464" i="35" s="1"/>
  <c r="AL464" i="35"/>
  <c r="AK464" i="35"/>
  <c r="AJ464" i="35"/>
  <c r="AI464" i="35"/>
  <c r="AH464" i="35"/>
  <c r="AG464" i="35"/>
  <c r="AF464" i="35"/>
  <c r="AE464" i="35"/>
  <c r="AD464" i="35"/>
  <c r="AW463" i="35"/>
  <c r="BH463" i="35" s="1"/>
  <c r="AV463" i="35"/>
  <c r="BG463" i="35" s="1"/>
  <c r="AU463" i="35"/>
  <c r="BF463" i="35" s="1"/>
  <c r="AT463" i="35"/>
  <c r="BE463" i="35" s="1"/>
  <c r="AS463" i="35"/>
  <c r="BD463" i="35" s="1"/>
  <c r="AR463" i="35"/>
  <c r="BC463" i="35" s="1"/>
  <c r="AQ463" i="35"/>
  <c r="BB463" i="35" s="1"/>
  <c r="AP463" i="35"/>
  <c r="BA463" i="35" s="1"/>
  <c r="AO463" i="35"/>
  <c r="AZ463" i="35" s="1"/>
  <c r="AL463" i="35"/>
  <c r="AK463" i="35"/>
  <c r="AJ463" i="35"/>
  <c r="AI463" i="35"/>
  <c r="AH463" i="35"/>
  <c r="AG463" i="35"/>
  <c r="AF463" i="35"/>
  <c r="AE463" i="35"/>
  <c r="AD463" i="35"/>
  <c r="BF462" i="35"/>
  <c r="AW462" i="35"/>
  <c r="BH462" i="35" s="1"/>
  <c r="AV462" i="35"/>
  <c r="BG462" i="35" s="1"/>
  <c r="AU462" i="35"/>
  <c r="AT462" i="35"/>
  <c r="BE462" i="35" s="1"/>
  <c r="AS462" i="35"/>
  <c r="BD462" i="35" s="1"/>
  <c r="AR462" i="35"/>
  <c r="BC462" i="35" s="1"/>
  <c r="AQ462" i="35"/>
  <c r="BB462" i="35" s="1"/>
  <c r="AP462" i="35"/>
  <c r="BA462" i="35" s="1"/>
  <c r="AO462" i="35"/>
  <c r="AZ462" i="35" s="1"/>
  <c r="AL462" i="35"/>
  <c r="AK462" i="35"/>
  <c r="AJ462" i="35"/>
  <c r="AI462" i="35"/>
  <c r="AH462" i="35"/>
  <c r="AG462" i="35"/>
  <c r="AF462" i="35"/>
  <c r="AE462" i="35"/>
  <c r="AD462" i="35"/>
  <c r="AW461" i="35"/>
  <c r="BH461" i="35" s="1"/>
  <c r="AV461" i="35"/>
  <c r="BG461" i="35" s="1"/>
  <c r="AU461" i="35"/>
  <c r="BF461" i="35" s="1"/>
  <c r="AT461" i="35"/>
  <c r="BE461" i="35" s="1"/>
  <c r="AS461" i="35"/>
  <c r="BD461" i="35" s="1"/>
  <c r="AR461" i="35"/>
  <c r="BC461" i="35" s="1"/>
  <c r="AQ461" i="35"/>
  <c r="BB461" i="35" s="1"/>
  <c r="AP461" i="35"/>
  <c r="BA461" i="35" s="1"/>
  <c r="AO461" i="35"/>
  <c r="AZ461" i="35" s="1"/>
  <c r="AL461" i="35"/>
  <c r="AK461" i="35"/>
  <c r="AJ461" i="35"/>
  <c r="AI461" i="35"/>
  <c r="AH461" i="35"/>
  <c r="AG461" i="35"/>
  <c r="AF461" i="35"/>
  <c r="AE461" i="35"/>
  <c r="AD461" i="35"/>
  <c r="AW460" i="35"/>
  <c r="BH460" i="35" s="1"/>
  <c r="AV460" i="35"/>
  <c r="BG460" i="35" s="1"/>
  <c r="AU460" i="35"/>
  <c r="BF460" i="35" s="1"/>
  <c r="AT460" i="35"/>
  <c r="BE460" i="35" s="1"/>
  <c r="AS460" i="35"/>
  <c r="BD460" i="35" s="1"/>
  <c r="AR460" i="35"/>
  <c r="BC460" i="35" s="1"/>
  <c r="AQ460" i="35"/>
  <c r="BB460" i="35" s="1"/>
  <c r="AP460" i="35"/>
  <c r="BA460" i="35" s="1"/>
  <c r="AO460" i="35"/>
  <c r="AZ460" i="35" s="1"/>
  <c r="AL460" i="35"/>
  <c r="AK460" i="35"/>
  <c r="AJ460" i="35"/>
  <c r="AI460" i="35"/>
  <c r="AH460" i="35"/>
  <c r="AG460" i="35"/>
  <c r="AF460" i="35"/>
  <c r="AE460" i="35"/>
  <c r="AD460" i="35"/>
  <c r="AW459" i="35"/>
  <c r="BH459" i="35" s="1"/>
  <c r="AV459" i="35"/>
  <c r="BG459" i="35" s="1"/>
  <c r="AU459" i="35"/>
  <c r="BF459" i="35" s="1"/>
  <c r="AT459" i="35"/>
  <c r="BE459" i="35" s="1"/>
  <c r="AS459" i="35"/>
  <c r="BD459" i="35" s="1"/>
  <c r="AR459" i="35"/>
  <c r="BC459" i="35" s="1"/>
  <c r="AQ459" i="35"/>
  <c r="BB459" i="35" s="1"/>
  <c r="AP459" i="35"/>
  <c r="BA459" i="35" s="1"/>
  <c r="AO459" i="35"/>
  <c r="AZ459" i="35" s="1"/>
  <c r="AL459" i="35"/>
  <c r="AK459" i="35"/>
  <c r="AJ459" i="35"/>
  <c r="AI459" i="35"/>
  <c r="AH459" i="35"/>
  <c r="AG459" i="35"/>
  <c r="AF459" i="35"/>
  <c r="AE459" i="35"/>
  <c r="AD459" i="35"/>
  <c r="AW458" i="35"/>
  <c r="BH458" i="35" s="1"/>
  <c r="AV458" i="35"/>
  <c r="BG458" i="35" s="1"/>
  <c r="AU458" i="35"/>
  <c r="BF458" i="35" s="1"/>
  <c r="AT458" i="35"/>
  <c r="BE458" i="35" s="1"/>
  <c r="AS458" i="35"/>
  <c r="BD458" i="35" s="1"/>
  <c r="AR458" i="35"/>
  <c r="BC458" i="35" s="1"/>
  <c r="AQ458" i="35"/>
  <c r="BB458" i="35" s="1"/>
  <c r="AP458" i="35"/>
  <c r="BA458" i="35" s="1"/>
  <c r="AO458" i="35"/>
  <c r="AZ458" i="35" s="1"/>
  <c r="AL458" i="35"/>
  <c r="AK458" i="35"/>
  <c r="AJ458" i="35"/>
  <c r="AI458" i="35"/>
  <c r="AH458" i="35"/>
  <c r="AG458" i="35"/>
  <c r="AF458" i="35"/>
  <c r="AE458" i="35"/>
  <c r="AD458" i="35"/>
  <c r="AW457" i="35"/>
  <c r="BH457" i="35" s="1"/>
  <c r="AV457" i="35"/>
  <c r="BG457" i="35" s="1"/>
  <c r="AU457" i="35"/>
  <c r="BF457" i="35" s="1"/>
  <c r="AT457" i="35"/>
  <c r="BE457" i="35" s="1"/>
  <c r="AS457" i="35"/>
  <c r="BD457" i="35" s="1"/>
  <c r="AR457" i="35"/>
  <c r="BC457" i="35" s="1"/>
  <c r="AQ457" i="35"/>
  <c r="BB457" i="35" s="1"/>
  <c r="AP457" i="35"/>
  <c r="BA457" i="35" s="1"/>
  <c r="AO457" i="35"/>
  <c r="AZ457" i="35" s="1"/>
  <c r="AL457" i="35"/>
  <c r="AK457" i="35"/>
  <c r="AJ457" i="35"/>
  <c r="AI457" i="35"/>
  <c r="AH457" i="35"/>
  <c r="AG457" i="35"/>
  <c r="AF457" i="35"/>
  <c r="AE457" i="35"/>
  <c r="AD457" i="35"/>
  <c r="AW456" i="35"/>
  <c r="BH456" i="35" s="1"/>
  <c r="AV456" i="35"/>
  <c r="BG456" i="35" s="1"/>
  <c r="AU456" i="35"/>
  <c r="BF456" i="35" s="1"/>
  <c r="AT456" i="35"/>
  <c r="BE456" i="35" s="1"/>
  <c r="AS456" i="35"/>
  <c r="BD456" i="35" s="1"/>
  <c r="AR456" i="35"/>
  <c r="BC456" i="35" s="1"/>
  <c r="AQ456" i="35"/>
  <c r="BB456" i="35" s="1"/>
  <c r="AP456" i="35"/>
  <c r="BA456" i="35" s="1"/>
  <c r="AO456" i="35"/>
  <c r="AZ456" i="35" s="1"/>
  <c r="AL456" i="35"/>
  <c r="AK456" i="35"/>
  <c r="AJ456" i="35"/>
  <c r="AI456" i="35"/>
  <c r="AH456" i="35"/>
  <c r="AG456" i="35"/>
  <c r="AF456" i="35"/>
  <c r="AE456" i="35"/>
  <c r="AD456" i="35"/>
  <c r="AW455" i="35"/>
  <c r="BH455" i="35" s="1"/>
  <c r="AV455" i="35"/>
  <c r="BG455" i="35" s="1"/>
  <c r="AU455" i="35"/>
  <c r="BF455" i="35" s="1"/>
  <c r="AT455" i="35"/>
  <c r="BE455" i="35" s="1"/>
  <c r="AS455" i="35"/>
  <c r="BD455" i="35" s="1"/>
  <c r="AR455" i="35"/>
  <c r="BC455" i="35" s="1"/>
  <c r="AQ455" i="35"/>
  <c r="BB455" i="35" s="1"/>
  <c r="AP455" i="35"/>
  <c r="BA455" i="35" s="1"/>
  <c r="AO455" i="35"/>
  <c r="AZ455" i="35" s="1"/>
  <c r="AL455" i="35"/>
  <c r="AK455" i="35"/>
  <c r="AJ455" i="35"/>
  <c r="AI455" i="35"/>
  <c r="AH455" i="35"/>
  <c r="AG455" i="35"/>
  <c r="AF455" i="35"/>
  <c r="AE455" i="35"/>
  <c r="AD455" i="35"/>
  <c r="AW454" i="35"/>
  <c r="BH454" i="35" s="1"/>
  <c r="AV454" i="35"/>
  <c r="BG454" i="35" s="1"/>
  <c r="AU454" i="35"/>
  <c r="BF454" i="35" s="1"/>
  <c r="AT454" i="35"/>
  <c r="BE454" i="35" s="1"/>
  <c r="AS454" i="35"/>
  <c r="BD454" i="35" s="1"/>
  <c r="AR454" i="35"/>
  <c r="BC454" i="35" s="1"/>
  <c r="AQ454" i="35"/>
  <c r="BB454" i="35" s="1"/>
  <c r="AP454" i="35"/>
  <c r="BA454" i="35" s="1"/>
  <c r="AO454" i="35"/>
  <c r="AZ454" i="35" s="1"/>
  <c r="AL454" i="35"/>
  <c r="AK454" i="35"/>
  <c r="AJ454" i="35"/>
  <c r="AI454" i="35"/>
  <c r="AH454" i="35"/>
  <c r="AG454" i="35"/>
  <c r="AF454" i="35"/>
  <c r="AE454" i="35"/>
  <c r="AD454" i="35"/>
  <c r="AW453" i="35"/>
  <c r="BH453" i="35" s="1"/>
  <c r="AV453" i="35"/>
  <c r="BG453" i="35" s="1"/>
  <c r="AU453" i="35"/>
  <c r="BF453" i="35" s="1"/>
  <c r="AT453" i="35"/>
  <c r="BE453" i="35" s="1"/>
  <c r="AS453" i="35"/>
  <c r="BD453" i="35" s="1"/>
  <c r="AR453" i="35"/>
  <c r="BC453" i="35" s="1"/>
  <c r="AQ453" i="35"/>
  <c r="BB453" i="35" s="1"/>
  <c r="AP453" i="35"/>
  <c r="BA453" i="35" s="1"/>
  <c r="AO453" i="35"/>
  <c r="AZ453" i="35" s="1"/>
  <c r="AL453" i="35"/>
  <c r="AK453" i="35"/>
  <c r="AJ453" i="35"/>
  <c r="AI453" i="35"/>
  <c r="AH453" i="35"/>
  <c r="AG453" i="35"/>
  <c r="AF453" i="35"/>
  <c r="AE453" i="35"/>
  <c r="AD453" i="35"/>
  <c r="AW452" i="35"/>
  <c r="BH452" i="35" s="1"/>
  <c r="AV452" i="35"/>
  <c r="BG452" i="35" s="1"/>
  <c r="AU452" i="35"/>
  <c r="BF452" i="35" s="1"/>
  <c r="AT452" i="35"/>
  <c r="BE452" i="35" s="1"/>
  <c r="AS452" i="35"/>
  <c r="BD452" i="35" s="1"/>
  <c r="AR452" i="35"/>
  <c r="BC452" i="35" s="1"/>
  <c r="AQ452" i="35"/>
  <c r="BB452" i="35" s="1"/>
  <c r="AP452" i="35"/>
  <c r="BA452" i="35" s="1"/>
  <c r="AO452" i="35"/>
  <c r="AZ452" i="35" s="1"/>
  <c r="AL452" i="35"/>
  <c r="AK452" i="35"/>
  <c r="AJ452" i="35"/>
  <c r="AI452" i="35"/>
  <c r="AH452" i="35"/>
  <c r="AG452" i="35"/>
  <c r="AF452" i="35"/>
  <c r="AE452" i="35"/>
  <c r="AD452" i="35"/>
  <c r="AW451" i="35"/>
  <c r="BH451" i="35" s="1"/>
  <c r="AV451" i="35"/>
  <c r="BG451" i="35" s="1"/>
  <c r="AU451" i="35"/>
  <c r="BF451" i="35" s="1"/>
  <c r="AT451" i="35"/>
  <c r="BE451" i="35" s="1"/>
  <c r="AS451" i="35"/>
  <c r="BD451" i="35" s="1"/>
  <c r="AR451" i="35"/>
  <c r="BC451" i="35" s="1"/>
  <c r="AQ451" i="35"/>
  <c r="BB451" i="35" s="1"/>
  <c r="AP451" i="35"/>
  <c r="BA451" i="35" s="1"/>
  <c r="AO451" i="35"/>
  <c r="AZ451" i="35" s="1"/>
  <c r="AL451" i="35"/>
  <c r="AK451" i="35"/>
  <c r="AJ451" i="35"/>
  <c r="AI451" i="35"/>
  <c r="AH451" i="35"/>
  <c r="AG451" i="35"/>
  <c r="AF451" i="35"/>
  <c r="AE451" i="35"/>
  <c r="AD451" i="35"/>
  <c r="AW450" i="35"/>
  <c r="BH450" i="35" s="1"/>
  <c r="AV450" i="35"/>
  <c r="BG450" i="35" s="1"/>
  <c r="AU450" i="35"/>
  <c r="BF450" i="35" s="1"/>
  <c r="AT450" i="35"/>
  <c r="BE450" i="35" s="1"/>
  <c r="AS450" i="35"/>
  <c r="BD450" i="35" s="1"/>
  <c r="AR450" i="35"/>
  <c r="BC450" i="35" s="1"/>
  <c r="AQ450" i="35"/>
  <c r="BB450" i="35" s="1"/>
  <c r="AP450" i="35"/>
  <c r="BA450" i="35" s="1"/>
  <c r="AO450" i="35"/>
  <c r="AZ450" i="35" s="1"/>
  <c r="AL450" i="35"/>
  <c r="AK450" i="35"/>
  <c r="AJ450" i="35"/>
  <c r="AI450" i="35"/>
  <c r="AH450" i="35"/>
  <c r="AG450" i="35"/>
  <c r="AF450" i="35"/>
  <c r="AE450" i="35"/>
  <c r="AD450" i="35"/>
  <c r="AW449" i="35"/>
  <c r="BH449" i="35" s="1"/>
  <c r="AV449" i="35"/>
  <c r="BG449" i="35" s="1"/>
  <c r="AU449" i="35"/>
  <c r="BF449" i="35" s="1"/>
  <c r="AT449" i="35"/>
  <c r="BE449" i="35" s="1"/>
  <c r="AS449" i="35"/>
  <c r="BD449" i="35" s="1"/>
  <c r="AR449" i="35"/>
  <c r="BC449" i="35" s="1"/>
  <c r="AQ449" i="35"/>
  <c r="BB449" i="35" s="1"/>
  <c r="AP449" i="35"/>
  <c r="BA449" i="35" s="1"/>
  <c r="AO449" i="35"/>
  <c r="AZ449" i="35" s="1"/>
  <c r="AL449" i="35"/>
  <c r="AK449" i="35"/>
  <c r="AJ449" i="35"/>
  <c r="AI449" i="35"/>
  <c r="AH449" i="35"/>
  <c r="AG449" i="35"/>
  <c r="AF449" i="35"/>
  <c r="AE449" i="35"/>
  <c r="AD449" i="35"/>
  <c r="AW448" i="35"/>
  <c r="BH448" i="35" s="1"/>
  <c r="AV448" i="35"/>
  <c r="BG448" i="35" s="1"/>
  <c r="AU448" i="35"/>
  <c r="BF448" i="35" s="1"/>
  <c r="AT448" i="35"/>
  <c r="BE448" i="35" s="1"/>
  <c r="AS448" i="35"/>
  <c r="BD448" i="35" s="1"/>
  <c r="AR448" i="35"/>
  <c r="BC448" i="35" s="1"/>
  <c r="AQ448" i="35"/>
  <c r="BB448" i="35" s="1"/>
  <c r="AP448" i="35"/>
  <c r="BA448" i="35" s="1"/>
  <c r="AO448" i="35"/>
  <c r="AZ448" i="35" s="1"/>
  <c r="AL448" i="35"/>
  <c r="AK448" i="35"/>
  <c r="AJ448" i="35"/>
  <c r="AI448" i="35"/>
  <c r="AH448" i="35"/>
  <c r="AG448" i="35"/>
  <c r="AF448" i="35"/>
  <c r="AE448" i="35"/>
  <c r="AD448" i="35"/>
  <c r="AW447" i="35"/>
  <c r="BH447" i="35" s="1"/>
  <c r="AV447" i="35"/>
  <c r="BG447" i="35" s="1"/>
  <c r="AU447" i="35"/>
  <c r="BF447" i="35" s="1"/>
  <c r="AT447" i="35"/>
  <c r="BE447" i="35" s="1"/>
  <c r="AS447" i="35"/>
  <c r="BD447" i="35" s="1"/>
  <c r="AR447" i="35"/>
  <c r="BC447" i="35" s="1"/>
  <c r="AQ447" i="35"/>
  <c r="BB447" i="35" s="1"/>
  <c r="AP447" i="35"/>
  <c r="BA447" i="35" s="1"/>
  <c r="AO447" i="35"/>
  <c r="AZ447" i="35" s="1"/>
  <c r="AL447" i="35"/>
  <c r="AK447" i="35"/>
  <c r="AJ447" i="35"/>
  <c r="AI447" i="35"/>
  <c r="AH447" i="35"/>
  <c r="AG447" i="35"/>
  <c r="AF447" i="35"/>
  <c r="AE447" i="35"/>
  <c r="AD447" i="35"/>
  <c r="AW446" i="35"/>
  <c r="BH446" i="35" s="1"/>
  <c r="AV446" i="35"/>
  <c r="BG446" i="35" s="1"/>
  <c r="AU446" i="35"/>
  <c r="BF446" i="35" s="1"/>
  <c r="AT446" i="35"/>
  <c r="BE446" i="35" s="1"/>
  <c r="AS446" i="35"/>
  <c r="BD446" i="35" s="1"/>
  <c r="AR446" i="35"/>
  <c r="BC446" i="35" s="1"/>
  <c r="AQ446" i="35"/>
  <c r="BB446" i="35" s="1"/>
  <c r="AP446" i="35"/>
  <c r="BA446" i="35" s="1"/>
  <c r="AO446" i="35"/>
  <c r="AZ446" i="35" s="1"/>
  <c r="AL446" i="35"/>
  <c r="AK446" i="35"/>
  <c r="AJ446" i="35"/>
  <c r="AI446" i="35"/>
  <c r="AH446" i="35"/>
  <c r="AG446" i="35"/>
  <c r="AF446" i="35"/>
  <c r="AE446" i="35"/>
  <c r="AD446" i="35"/>
  <c r="AW445" i="35"/>
  <c r="BH445" i="35" s="1"/>
  <c r="AV445" i="35"/>
  <c r="BG445" i="35" s="1"/>
  <c r="AU445" i="35"/>
  <c r="BF445" i="35" s="1"/>
  <c r="AT445" i="35"/>
  <c r="BE445" i="35" s="1"/>
  <c r="AS445" i="35"/>
  <c r="BD445" i="35" s="1"/>
  <c r="AR445" i="35"/>
  <c r="BC445" i="35" s="1"/>
  <c r="AQ445" i="35"/>
  <c r="BB445" i="35" s="1"/>
  <c r="AP445" i="35"/>
  <c r="BA445" i="35" s="1"/>
  <c r="AO445" i="35"/>
  <c r="AZ445" i="35" s="1"/>
  <c r="AL445" i="35"/>
  <c r="AK445" i="35"/>
  <c r="AJ445" i="35"/>
  <c r="AI445" i="35"/>
  <c r="AH445" i="35"/>
  <c r="AG445" i="35"/>
  <c r="AF445" i="35"/>
  <c r="AE445" i="35"/>
  <c r="AD445" i="35"/>
  <c r="AW443" i="35"/>
  <c r="BH443" i="35" s="1"/>
  <c r="AV443" i="35"/>
  <c r="BG443" i="35" s="1"/>
  <c r="AU443" i="35"/>
  <c r="BF443" i="35" s="1"/>
  <c r="AT443" i="35"/>
  <c r="BE443" i="35" s="1"/>
  <c r="AS443" i="35"/>
  <c r="BD443" i="35" s="1"/>
  <c r="AR443" i="35"/>
  <c r="BC443" i="35" s="1"/>
  <c r="AQ443" i="35"/>
  <c r="BB443" i="35" s="1"/>
  <c r="AP443" i="35"/>
  <c r="BA443" i="35" s="1"/>
  <c r="AO443" i="35"/>
  <c r="AZ443" i="35" s="1"/>
  <c r="AL443" i="35"/>
  <c r="AK443" i="35"/>
  <c r="AJ443" i="35"/>
  <c r="AI443" i="35"/>
  <c r="AH443" i="35"/>
  <c r="AG443" i="35"/>
  <c r="AF443" i="35"/>
  <c r="AE443" i="35"/>
  <c r="AD443" i="35"/>
  <c r="AW442" i="35"/>
  <c r="BH442" i="35" s="1"/>
  <c r="AV442" i="35"/>
  <c r="BG442" i="35" s="1"/>
  <c r="AU442" i="35"/>
  <c r="BF442" i="35" s="1"/>
  <c r="AT442" i="35"/>
  <c r="BE442" i="35" s="1"/>
  <c r="AS442" i="35"/>
  <c r="BD442" i="35" s="1"/>
  <c r="AR442" i="35"/>
  <c r="BC442" i="35" s="1"/>
  <c r="AQ442" i="35"/>
  <c r="BB442" i="35" s="1"/>
  <c r="AP442" i="35"/>
  <c r="BA442" i="35" s="1"/>
  <c r="AO442" i="35"/>
  <c r="AZ442" i="35" s="1"/>
  <c r="AL442" i="35"/>
  <c r="AK442" i="35"/>
  <c r="AJ442" i="35"/>
  <c r="AI442" i="35"/>
  <c r="AH442" i="35"/>
  <c r="AG442" i="35"/>
  <c r="AF442" i="35"/>
  <c r="AE442" i="35"/>
  <c r="AD442" i="35"/>
  <c r="AW441" i="35"/>
  <c r="BH441" i="35" s="1"/>
  <c r="AV441" i="35"/>
  <c r="BG441" i="35" s="1"/>
  <c r="AU441" i="35"/>
  <c r="BF441" i="35" s="1"/>
  <c r="AT441" i="35"/>
  <c r="BE441" i="35" s="1"/>
  <c r="AS441" i="35"/>
  <c r="BD441" i="35" s="1"/>
  <c r="AR441" i="35"/>
  <c r="BC441" i="35" s="1"/>
  <c r="AQ441" i="35"/>
  <c r="BB441" i="35" s="1"/>
  <c r="AP441" i="35"/>
  <c r="BA441" i="35" s="1"/>
  <c r="AO441" i="35"/>
  <c r="AZ441" i="35" s="1"/>
  <c r="AL441" i="35"/>
  <c r="AK441" i="35"/>
  <c r="AJ441" i="35"/>
  <c r="AI441" i="35"/>
  <c r="AH441" i="35"/>
  <c r="AG441" i="35"/>
  <c r="AF441" i="35"/>
  <c r="AE441" i="35"/>
  <c r="AD441" i="35"/>
  <c r="AW440" i="35"/>
  <c r="BH440" i="35" s="1"/>
  <c r="AV440" i="35"/>
  <c r="BG440" i="35" s="1"/>
  <c r="AU440" i="35"/>
  <c r="BF440" i="35" s="1"/>
  <c r="AT440" i="35"/>
  <c r="BE440" i="35" s="1"/>
  <c r="AS440" i="35"/>
  <c r="BD440" i="35" s="1"/>
  <c r="AR440" i="35"/>
  <c r="BC440" i="35" s="1"/>
  <c r="AQ440" i="35"/>
  <c r="BB440" i="35" s="1"/>
  <c r="AP440" i="35"/>
  <c r="BA440" i="35" s="1"/>
  <c r="AO440" i="35"/>
  <c r="AZ440" i="35" s="1"/>
  <c r="AL440" i="35"/>
  <c r="AK440" i="35"/>
  <c r="AJ440" i="35"/>
  <c r="AI440" i="35"/>
  <c r="AH440" i="35"/>
  <c r="AG440" i="35"/>
  <c r="AF440" i="35"/>
  <c r="AE440" i="35"/>
  <c r="AD440" i="35"/>
  <c r="BH439" i="35"/>
  <c r="AW439" i="35"/>
  <c r="AV439" i="35"/>
  <c r="BG439" i="35" s="1"/>
  <c r="AU439" i="35"/>
  <c r="BF439" i="35" s="1"/>
  <c r="AT439" i="35"/>
  <c r="BE439" i="35" s="1"/>
  <c r="AS439" i="35"/>
  <c r="BD439" i="35" s="1"/>
  <c r="AR439" i="35"/>
  <c r="BC439" i="35" s="1"/>
  <c r="AQ439" i="35"/>
  <c r="BB439" i="35" s="1"/>
  <c r="AP439" i="35"/>
  <c r="BA439" i="35" s="1"/>
  <c r="AO439" i="35"/>
  <c r="AZ439" i="35" s="1"/>
  <c r="AL439" i="35"/>
  <c r="AK439" i="35"/>
  <c r="AJ439" i="35"/>
  <c r="AI439" i="35"/>
  <c r="AH439" i="35"/>
  <c r="AG439" i="35"/>
  <c r="AF439" i="35"/>
  <c r="AE439" i="35"/>
  <c r="AD439" i="35"/>
  <c r="AW438" i="35"/>
  <c r="BH438" i="35" s="1"/>
  <c r="AV438" i="35"/>
  <c r="BG438" i="35" s="1"/>
  <c r="AU438" i="35"/>
  <c r="BF438" i="35" s="1"/>
  <c r="AT438" i="35"/>
  <c r="BE438" i="35" s="1"/>
  <c r="AS438" i="35"/>
  <c r="BD438" i="35" s="1"/>
  <c r="AR438" i="35"/>
  <c r="BC438" i="35" s="1"/>
  <c r="AQ438" i="35"/>
  <c r="BB438" i="35" s="1"/>
  <c r="AP438" i="35"/>
  <c r="BA438" i="35" s="1"/>
  <c r="AO438" i="35"/>
  <c r="AZ438" i="35" s="1"/>
  <c r="AL438" i="35"/>
  <c r="AK438" i="35"/>
  <c r="AJ438" i="35"/>
  <c r="AI438" i="35"/>
  <c r="AH438" i="35"/>
  <c r="AG438" i="35"/>
  <c r="AF438" i="35"/>
  <c r="AE438" i="35"/>
  <c r="AD438" i="35"/>
  <c r="AW437" i="35"/>
  <c r="BH437" i="35" s="1"/>
  <c r="AV437" i="35"/>
  <c r="BG437" i="35" s="1"/>
  <c r="AU437" i="35"/>
  <c r="BF437" i="35" s="1"/>
  <c r="AT437" i="35"/>
  <c r="BE437" i="35" s="1"/>
  <c r="AS437" i="35"/>
  <c r="BD437" i="35" s="1"/>
  <c r="AR437" i="35"/>
  <c r="BC437" i="35" s="1"/>
  <c r="AQ437" i="35"/>
  <c r="BB437" i="35" s="1"/>
  <c r="AP437" i="35"/>
  <c r="BA437" i="35" s="1"/>
  <c r="AO437" i="35"/>
  <c r="AZ437" i="35" s="1"/>
  <c r="AL437" i="35"/>
  <c r="AK437" i="35"/>
  <c r="AJ437" i="35"/>
  <c r="AI437" i="35"/>
  <c r="AH437" i="35"/>
  <c r="AG437" i="35"/>
  <c r="AF437" i="35"/>
  <c r="AE437" i="35"/>
  <c r="AD437" i="35"/>
  <c r="AW436" i="35"/>
  <c r="BH436" i="35" s="1"/>
  <c r="AV436" i="35"/>
  <c r="BG436" i="35" s="1"/>
  <c r="AU436" i="35"/>
  <c r="BF436" i="35" s="1"/>
  <c r="AT436" i="35"/>
  <c r="BE436" i="35" s="1"/>
  <c r="AS436" i="35"/>
  <c r="BD436" i="35" s="1"/>
  <c r="AR436" i="35"/>
  <c r="BC436" i="35" s="1"/>
  <c r="AQ436" i="35"/>
  <c r="BB436" i="35" s="1"/>
  <c r="AP436" i="35"/>
  <c r="BA436" i="35" s="1"/>
  <c r="AO436" i="35"/>
  <c r="AZ436" i="35" s="1"/>
  <c r="AL436" i="35"/>
  <c r="AK436" i="35"/>
  <c r="AJ436" i="35"/>
  <c r="AI436" i="35"/>
  <c r="AH436" i="35"/>
  <c r="AG436" i="35"/>
  <c r="AF436" i="35"/>
  <c r="AE436" i="35"/>
  <c r="AD436" i="35"/>
  <c r="AW435" i="35"/>
  <c r="BH435" i="35" s="1"/>
  <c r="AV435" i="35"/>
  <c r="BG435" i="35" s="1"/>
  <c r="AU435" i="35"/>
  <c r="BF435" i="35" s="1"/>
  <c r="AT435" i="35"/>
  <c r="BE435" i="35" s="1"/>
  <c r="AS435" i="35"/>
  <c r="BD435" i="35" s="1"/>
  <c r="AR435" i="35"/>
  <c r="BC435" i="35" s="1"/>
  <c r="AQ435" i="35"/>
  <c r="BB435" i="35" s="1"/>
  <c r="AP435" i="35"/>
  <c r="BA435" i="35" s="1"/>
  <c r="AO435" i="35"/>
  <c r="AZ435" i="35" s="1"/>
  <c r="AL435" i="35"/>
  <c r="AK435" i="35"/>
  <c r="AJ435" i="35"/>
  <c r="AI435" i="35"/>
  <c r="AH435" i="35"/>
  <c r="AG435" i="35"/>
  <c r="AF435" i="35"/>
  <c r="AE435" i="35"/>
  <c r="AD435" i="35"/>
  <c r="AW434" i="35"/>
  <c r="BH434" i="35" s="1"/>
  <c r="AV434" i="35"/>
  <c r="BG434" i="35" s="1"/>
  <c r="AU434" i="35"/>
  <c r="BF434" i="35" s="1"/>
  <c r="AT434" i="35"/>
  <c r="BE434" i="35" s="1"/>
  <c r="AS434" i="35"/>
  <c r="BD434" i="35" s="1"/>
  <c r="AR434" i="35"/>
  <c r="BC434" i="35" s="1"/>
  <c r="AQ434" i="35"/>
  <c r="BB434" i="35" s="1"/>
  <c r="AP434" i="35"/>
  <c r="BA434" i="35" s="1"/>
  <c r="AO434" i="35"/>
  <c r="AZ434" i="35" s="1"/>
  <c r="AL434" i="35"/>
  <c r="AK434" i="35"/>
  <c r="AJ434" i="35"/>
  <c r="AI434" i="35"/>
  <c r="AH434" i="35"/>
  <c r="AG434" i="35"/>
  <c r="AF434" i="35"/>
  <c r="AE434" i="35"/>
  <c r="AD434" i="35"/>
  <c r="AW433" i="35"/>
  <c r="BH433" i="35" s="1"/>
  <c r="AV433" i="35"/>
  <c r="BG433" i="35" s="1"/>
  <c r="AU433" i="35"/>
  <c r="BF433" i="35" s="1"/>
  <c r="AT433" i="35"/>
  <c r="BE433" i="35" s="1"/>
  <c r="AS433" i="35"/>
  <c r="BD433" i="35" s="1"/>
  <c r="AR433" i="35"/>
  <c r="BC433" i="35" s="1"/>
  <c r="AQ433" i="35"/>
  <c r="BB433" i="35" s="1"/>
  <c r="AP433" i="35"/>
  <c r="BA433" i="35" s="1"/>
  <c r="AO433" i="35"/>
  <c r="AZ433" i="35" s="1"/>
  <c r="AL433" i="35"/>
  <c r="AK433" i="35"/>
  <c r="AJ433" i="35"/>
  <c r="AI433" i="35"/>
  <c r="AH433" i="35"/>
  <c r="AG433" i="35"/>
  <c r="AF433" i="35"/>
  <c r="AE433" i="35"/>
  <c r="AD433" i="35"/>
  <c r="AW432" i="35"/>
  <c r="BH432" i="35" s="1"/>
  <c r="AV432" i="35"/>
  <c r="BG432" i="35" s="1"/>
  <c r="AU432" i="35"/>
  <c r="BF432" i="35" s="1"/>
  <c r="AT432" i="35"/>
  <c r="BE432" i="35" s="1"/>
  <c r="AS432" i="35"/>
  <c r="BD432" i="35" s="1"/>
  <c r="AR432" i="35"/>
  <c r="BC432" i="35" s="1"/>
  <c r="AQ432" i="35"/>
  <c r="BB432" i="35" s="1"/>
  <c r="AP432" i="35"/>
  <c r="BA432" i="35" s="1"/>
  <c r="AO432" i="35"/>
  <c r="AZ432" i="35" s="1"/>
  <c r="AL432" i="35"/>
  <c r="AK432" i="35"/>
  <c r="AJ432" i="35"/>
  <c r="AI432" i="35"/>
  <c r="AH432" i="35"/>
  <c r="AG432" i="35"/>
  <c r="AF432" i="35"/>
  <c r="AE432" i="35"/>
  <c r="AD432" i="35"/>
  <c r="AW431" i="35"/>
  <c r="BH431" i="35" s="1"/>
  <c r="AV431" i="35"/>
  <c r="BG431" i="35" s="1"/>
  <c r="AU431" i="35"/>
  <c r="BF431" i="35" s="1"/>
  <c r="AT431" i="35"/>
  <c r="BE431" i="35" s="1"/>
  <c r="AS431" i="35"/>
  <c r="BD431" i="35" s="1"/>
  <c r="AR431" i="35"/>
  <c r="BC431" i="35" s="1"/>
  <c r="AQ431" i="35"/>
  <c r="BB431" i="35" s="1"/>
  <c r="AP431" i="35"/>
  <c r="BA431" i="35" s="1"/>
  <c r="AO431" i="35"/>
  <c r="AZ431" i="35" s="1"/>
  <c r="AL431" i="35"/>
  <c r="AK431" i="35"/>
  <c r="AJ431" i="35"/>
  <c r="AI431" i="35"/>
  <c r="AH431" i="35"/>
  <c r="AG431" i="35"/>
  <c r="AF431" i="35"/>
  <c r="AE431" i="35"/>
  <c r="AD431" i="35"/>
  <c r="AW430" i="35"/>
  <c r="BH430" i="35" s="1"/>
  <c r="AV430" i="35"/>
  <c r="BG430" i="35" s="1"/>
  <c r="AU430" i="35"/>
  <c r="BF430" i="35" s="1"/>
  <c r="AT430" i="35"/>
  <c r="BE430" i="35" s="1"/>
  <c r="AS430" i="35"/>
  <c r="BD430" i="35" s="1"/>
  <c r="AR430" i="35"/>
  <c r="BC430" i="35" s="1"/>
  <c r="AQ430" i="35"/>
  <c r="BB430" i="35" s="1"/>
  <c r="AP430" i="35"/>
  <c r="BA430" i="35" s="1"/>
  <c r="AO430" i="35"/>
  <c r="AZ430" i="35" s="1"/>
  <c r="AL430" i="35"/>
  <c r="AK430" i="35"/>
  <c r="AJ430" i="35"/>
  <c r="AI430" i="35"/>
  <c r="AH430" i="35"/>
  <c r="AG430" i="35"/>
  <c r="AF430" i="35"/>
  <c r="AE430" i="35"/>
  <c r="AD430" i="35"/>
  <c r="BF429" i="35"/>
  <c r="AW429" i="35"/>
  <c r="BH429" i="35" s="1"/>
  <c r="AV429" i="35"/>
  <c r="BG429" i="35" s="1"/>
  <c r="AU429" i="35"/>
  <c r="AT429" i="35"/>
  <c r="BE429" i="35" s="1"/>
  <c r="AS429" i="35"/>
  <c r="BD429" i="35" s="1"/>
  <c r="AR429" i="35"/>
  <c r="BC429" i="35" s="1"/>
  <c r="AQ429" i="35"/>
  <c r="BB429" i="35" s="1"/>
  <c r="AP429" i="35"/>
  <c r="BA429" i="35" s="1"/>
  <c r="AO429" i="35"/>
  <c r="AZ429" i="35" s="1"/>
  <c r="AL429" i="35"/>
  <c r="AK429" i="35"/>
  <c r="AJ429" i="35"/>
  <c r="AI429" i="35"/>
  <c r="AH429" i="35"/>
  <c r="AG429" i="35"/>
  <c r="AF429" i="35"/>
  <c r="AE429" i="35"/>
  <c r="AD429" i="35"/>
  <c r="AW428" i="35"/>
  <c r="BH428" i="35" s="1"/>
  <c r="AV428" i="35"/>
  <c r="BG428" i="35" s="1"/>
  <c r="AU428" i="35"/>
  <c r="BF428" i="35" s="1"/>
  <c r="AT428" i="35"/>
  <c r="BE428" i="35" s="1"/>
  <c r="AS428" i="35"/>
  <c r="BD428" i="35" s="1"/>
  <c r="AR428" i="35"/>
  <c r="BC428" i="35" s="1"/>
  <c r="AQ428" i="35"/>
  <c r="BB428" i="35" s="1"/>
  <c r="AP428" i="35"/>
  <c r="BA428" i="35" s="1"/>
  <c r="AO428" i="35"/>
  <c r="AZ428" i="35" s="1"/>
  <c r="AL428" i="35"/>
  <c r="AK428" i="35"/>
  <c r="AJ428" i="35"/>
  <c r="AI428" i="35"/>
  <c r="AH428" i="35"/>
  <c r="AG428" i="35"/>
  <c r="AF428" i="35"/>
  <c r="AE428" i="35"/>
  <c r="AD428" i="35"/>
  <c r="AW427" i="35"/>
  <c r="BH427" i="35" s="1"/>
  <c r="AV427" i="35"/>
  <c r="BG427" i="35" s="1"/>
  <c r="AU427" i="35"/>
  <c r="BF427" i="35" s="1"/>
  <c r="AT427" i="35"/>
  <c r="BE427" i="35" s="1"/>
  <c r="AS427" i="35"/>
  <c r="BD427" i="35" s="1"/>
  <c r="AR427" i="35"/>
  <c r="BC427" i="35" s="1"/>
  <c r="AQ427" i="35"/>
  <c r="BB427" i="35" s="1"/>
  <c r="AP427" i="35"/>
  <c r="BA427" i="35" s="1"/>
  <c r="AO427" i="35"/>
  <c r="AZ427" i="35" s="1"/>
  <c r="AL427" i="35"/>
  <c r="AK427" i="35"/>
  <c r="AJ427" i="35"/>
  <c r="AI427" i="35"/>
  <c r="AH427" i="35"/>
  <c r="AG427" i="35"/>
  <c r="AF427" i="35"/>
  <c r="AE427" i="35"/>
  <c r="AD427" i="35"/>
  <c r="AW426" i="35"/>
  <c r="BH426" i="35" s="1"/>
  <c r="AV426" i="35"/>
  <c r="BG426" i="35" s="1"/>
  <c r="AU426" i="35"/>
  <c r="BF426" i="35" s="1"/>
  <c r="AT426" i="35"/>
  <c r="BE426" i="35" s="1"/>
  <c r="AS426" i="35"/>
  <c r="BD426" i="35" s="1"/>
  <c r="AR426" i="35"/>
  <c r="BC426" i="35" s="1"/>
  <c r="AQ426" i="35"/>
  <c r="BB426" i="35" s="1"/>
  <c r="AP426" i="35"/>
  <c r="BA426" i="35" s="1"/>
  <c r="AO426" i="35"/>
  <c r="AZ426" i="35" s="1"/>
  <c r="AL426" i="35"/>
  <c r="AK426" i="35"/>
  <c r="AJ426" i="35"/>
  <c r="AI426" i="35"/>
  <c r="AH426" i="35"/>
  <c r="AG426" i="35"/>
  <c r="AF426" i="35"/>
  <c r="AE426" i="35"/>
  <c r="AD426" i="35"/>
  <c r="AW425" i="35"/>
  <c r="BH425" i="35" s="1"/>
  <c r="AV425" i="35"/>
  <c r="BG425" i="35" s="1"/>
  <c r="AU425" i="35"/>
  <c r="BF425" i="35" s="1"/>
  <c r="AT425" i="35"/>
  <c r="BE425" i="35" s="1"/>
  <c r="AS425" i="35"/>
  <c r="BD425" i="35" s="1"/>
  <c r="AR425" i="35"/>
  <c r="BC425" i="35" s="1"/>
  <c r="AQ425" i="35"/>
  <c r="BB425" i="35" s="1"/>
  <c r="AP425" i="35"/>
  <c r="BA425" i="35" s="1"/>
  <c r="AO425" i="35"/>
  <c r="AZ425" i="35" s="1"/>
  <c r="AL425" i="35"/>
  <c r="AK425" i="35"/>
  <c r="AJ425" i="35"/>
  <c r="AI425" i="35"/>
  <c r="AH425" i="35"/>
  <c r="AG425" i="35"/>
  <c r="AF425" i="35"/>
  <c r="AE425" i="35"/>
  <c r="AD425" i="35"/>
  <c r="AW424" i="35"/>
  <c r="BH424" i="35" s="1"/>
  <c r="AV424" i="35"/>
  <c r="BG424" i="35" s="1"/>
  <c r="AU424" i="35"/>
  <c r="BF424" i="35" s="1"/>
  <c r="AT424" i="35"/>
  <c r="BE424" i="35" s="1"/>
  <c r="AS424" i="35"/>
  <c r="BD424" i="35" s="1"/>
  <c r="AR424" i="35"/>
  <c r="BC424" i="35" s="1"/>
  <c r="AQ424" i="35"/>
  <c r="BB424" i="35" s="1"/>
  <c r="AP424" i="35"/>
  <c r="BA424" i="35" s="1"/>
  <c r="AO424" i="35"/>
  <c r="AZ424" i="35" s="1"/>
  <c r="AL424" i="35"/>
  <c r="AK424" i="35"/>
  <c r="AJ424" i="35"/>
  <c r="AI424" i="35"/>
  <c r="AH424" i="35"/>
  <c r="AG424" i="35"/>
  <c r="AF424" i="35"/>
  <c r="AE424" i="35"/>
  <c r="AD424" i="35"/>
  <c r="AW423" i="35"/>
  <c r="BH423" i="35" s="1"/>
  <c r="AV423" i="35"/>
  <c r="BG423" i="35" s="1"/>
  <c r="AU423" i="35"/>
  <c r="BF423" i="35" s="1"/>
  <c r="AT423" i="35"/>
  <c r="BE423" i="35" s="1"/>
  <c r="AS423" i="35"/>
  <c r="BD423" i="35" s="1"/>
  <c r="AR423" i="35"/>
  <c r="BC423" i="35" s="1"/>
  <c r="AQ423" i="35"/>
  <c r="BB423" i="35" s="1"/>
  <c r="AP423" i="35"/>
  <c r="BA423" i="35" s="1"/>
  <c r="AO423" i="35"/>
  <c r="AZ423" i="35" s="1"/>
  <c r="AL423" i="35"/>
  <c r="AK423" i="35"/>
  <c r="AJ423" i="35"/>
  <c r="AI423" i="35"/>
  <c r="AH423" i="35"/>
  <c r="AG423" i="35"/>
  <c r="AF423" i="35"/>
  <c r="AE423" i="35"/>
  <c r="AD423" i="35"/>
  <c r="AW422" i="35"/>
  <c r="BH422" i="35" s="1"/>
  <c r="AV422" i="35"/>
  <c r="BG422" i="35" s="1"/>
  <c r="AU422" i="35"/>
  <c r="BF422" i="35" s="1"/>
  <c r="AT422" i="35"/>
  <c r="BE422" i="35" s="1"/>
  <c r="AS422" i="35"/>
  <c r="BD422" i="35" s="1"/>
  <c r="AR422" i="35"/>
  <c r="BC422" i="35" s="1"/>
  <c r="AQ422" i="35"/>
  <c r="BB422" i="35" s="1"/>
  <c r="AP422" i="35"/>
  <c r="BA422" i="35" s="1"/>
  <c r="AO422" i="35"/>
  <c r="AZ422" i="35" s="1"/>
  <c r="AL422" i="35"/>
  <c r="AK422" i="35"/>
  <c r="AJ422" i="35"/>
  <c r="AI422" i="35"/>
  <c r="AH422" i="35"/>
  <c r="AG422" i="35"/>
  <c r="AF422" i="35"/>
  <c r="AE422" i="35"/>
  <c r="AD422" i="35"/>
  <c r="AW421" i="35"/>
  <c r="BH421" i="35" s="1"/>
  <c r="AV421" i="35"/>
  <c r="BG421" i="35" s="1"/>
  <c r="AU421" i="35"/>
  <c r="BF421" i="35" s="1"/>
  <c r="AT421" i="35"/>
  <c r="BE421" i="35" s="1"/>
  <c r="AS421" i="35"/>
  <c r="BD421" i="35" s="1"/>
  <c r="AR421" i="35"/>
  <c r="BC421" i="35" s="1"/>
  <c r="AQ421" i="35"/>
  <c r="BB421" i="35" s="1"/>
  <c r="AP421" i="35"/>
  <c r="BA421" i="35" s="1"/>
  <c r="AO421" i="35"/>
  <c r="AZ421" i="35" s="1"/>
  <c r="AL421" i="35"/>
  <c r="AK421" i="35"/>
  <c r="AJ421" i="35"/>
  <c r="AI421" i="35"/>
  <c r="AH421" i="35"/>
  <c r="AG421" i="35"/>
  <c r="AF421" i="35"/>
  <c r="AE421" i="35"/>
  <c r="AD421" i="35"/>
  <c r="AW420" i="35"/>
  <c r="BH420" i="35" s="1"/>
  <c r="AV420" i="35"/>
  <c r="BG420" i="35" s="1"/>
  <c r="AU420" i="35"/>
  <c r="BF420" i="35" s="1"/>
  <c r="AT420" i="35"/>
  <c r="BE420" i="35" s="1"/>
  <c r="AS420" i="35"/>
  <c r="BD420" i="35" s="1"/>
  <c r="AR420" i="35"/>
  <c r="BC420" i="35" s="1"/>
  <c r="AQ420" i="35"/>
  <c r="BB420" i="35" s="1"/>
  <c r="AP420" i="35"/>
  <c r="BA420" i="35" s="1"/>
  <c r="AO420" i="35"/>
  <c r="AZ420" i="35" s="1"/>
  <c r="AL420" i="35"/>
  <c r="AK420" i="35"/>
  <c r="AJ420" i="35"/>
  <c r="AI420" i="35"/>
  <c r="AH420" i="35"/>
  <c r="AG420" i="35"/>
  <c r="AF420" i="35"/>
  <c r="AE420" i="35"/>
  <c r="AD420" i="35"/>
  <c r="AW419" i="35"/>
  <c r="BH419" i="35" s="1"/>
  <c r="AV419" i="35"/>
  <c r="BG419" i="35" s="1"/>
  <c r="AU419" i="35"/>
  <c r="BF419" i="35" s="1"/>
  <c r="AT419" i="35"/>
  <c r="BE419" i="35" s="1"/>
  <c r="AS419" i="35"/>
  <c r="BD419" i="35" s="1"/>
  <c r="AR419" i="35"/>
  <c r="BC419" i="35" s="1"/>
  <c r="AQ419" i="35"/>
  <c r="BB419" i="35" s="1"/>
  <c r="AP419" i="35"/>
  <c r="BA419" i="35" s="1"/>
  <c r="AO419" i="35"/>
  <c r="AZ419" i="35" s="1"/>
  <c r="AL419" i="35"/>
  <c r="AK419" i="35"/>
  <c r="AJ419" i="35"/>
  <c r="AI419" i="35"/>
  <c r="AH419" i="35"/>
  <c r="AG419" i="35"/>
  <c r="AF419" i="35"/>
  <c r="AE419" i="35"/>
  <c r="AD419" i="35"/>
  <c r="AW418" i="35"/>
  <c r="BH418" i="35" s="1"/>
  <c r="AV418" i="35"/>
  <c r="BG418" i="35" s="1"/>
  <c r="AU418" i="35"/>
  <c r="BF418" i="35" s="1"/>
  <c r="AT418" i="35"/>
  <c r="BE418" i="35" s="1"/>
  <c r="AS418" i="35"/>
  <c r="BD418" i="35" s="1"/>
  <c r="AR418" i="35"/>
  <c r="BC418" i="35" s="1"/>
  <c r="AQ418" i="35"/>
  <c r="BB418" i="35" s="1"/>
  <c r="AP418" i="35"/>
  <c r="BA418" i="35" s="1"/>
  <c r="AO418" i="35"/>
  <c r="AZ418" i="35" s="1"/>
  <c r="AL418" i="35"/>
  <c r="AK418" i="35"/>
  <c r="AJ418" i="35"/>
  <c r="AI418" i="35"/>
  <c r="AH418" i="35"/>
  <c r="AG418" i="35"/>
  <c r="AF418" i="35"/>
  <c r="AE418" i="35"/>
  <c r="AD418" i="35"/>
  <c r="AW417" i="35"/>
  <c r="BH417" i="35" s="1"/>
  <c r="AV417" i="35"/>
  <c r="BG417" i="35" s="1"/>
  <c r="AU417" i="35"/>
  <c r="BF417" i="35" s="1"/>
  <c r="AT417" i="35"/>
  <c r="BE417" i="35" s="1"/>
  <c r="AS417" i="35"/>
  <c r="BD417" i="35" s="1"/>
  <c r="AR417" i="35"/>
  <c r="BC417" i="35" s="1"/>
  <c r="AQ417" i="35"/>
  <c r="BB417" i="35" s="1"/>
  <c r="AP417" i="35"/>
  <c r="BA417" i="35" s="1"/>
  <c r="AO417" i="35"/>
  <c r="AZ417" i="35" s="1"/>
  <c r="AL417" i="35"/>
  <c r="AK417" i="35"/>
  <c r="AJ417" i="35"/>
  <c r="AI417" i="35"/>
  <c r="AH417" i="35"/>
  <c r="AG417" i="35"/>
  <c r="AF417" i="35"/>
  <c r="AE417" i="35"/>
  <c r="AD417" i="35"/>
  <c r="AW416" i="35"/>
  <c r="BH416" i="35" s="1"/>
  <c r="AV416" i="35"/>
  <c r="BG416" i="35" s="1"/>
  <c r="AU416" i="35"/>
  <c r="BF416" i="35" s="1"/>
  <c r="AT416" i="35"/>
  <c r="BE416" i="35" s="1"/>
  <c r="AS416" i="35"/>
  <c r="BD416" i="35" s="1"/>
  <c r="AR416" i="35"/>
  <c r="BC416" i="35" s="1"/>
  <c r="AQ416" i="35"/>
  <c r="BB416" i="35" s="1"/>
  <c r="AP416" i="35"/>
  <c r="BA416" i="35" s="1"/>
  <c r="AO416" i="35"/>
  <c r="AZ416" i="35" s="1"/>
  <c r="AL416" i="35"/>
  <c r="AK416" i="35"/>
  <c r="AJ416" i="35"/>
  <c r="AI416" i="35"/>
  <c r="AH416" i="35"/>
  <c r="AG416" i="35"/>
  <c r="AF416" i="35"/>
  <c r="AE416" i="35"/>
  <c r="AD416" i="35"/>
  <c r="AW415" i="35"/>
  <c r="BH415" i="35" s="1"/>
  <c r="AV415" i="35"/>
  <c r="BG415" i="35" s="1"/>
  <c r="AU415" i="35"/>
  <c r="BF415" i="35" s="1"/>
  <c r="AT415" i="35"/>
  <c r="BE415" i="35" s="1"/>
  <c r="AS415" i="35"/>
  <c r="BD415" i="35" s="1"/>
  <c r="AR415" i="35"/>
  <c r="BC415" i="35" s="1"/>
  <c r="AQ415" i="35"/>
  <c r="BB415" i="35" s="1"/>
  <c r="AP415" i="35"/>
  <c r="BA415" i="35" s="1"/>
  <c r="AO415" i="35"/>
  <c r="AZ415" i="35" s="1"/>
  <c r="AL415" i="35"/>
  <c r="AK415" i="35"/>
  <c r="AJ415" i="35"/>
  <c r="AI415" i="35"/>
  <c r="AH415" i="35"/>
  <c r="AG415" i="35"/>
  <c r="AF415" i="35"/>
  <c r="AE415" i="35"/>
  <c r="AD415" i="35"/>
  <c r="AZ414" i="35"/>
  <c r="AW414" i="35"/>
  <c r="BH414" i="35" s="1"/>
  <c r="AV414" i="35"/>
  <c r="BG414" i="35" s="1"/>
  <c r="AU414" i="35"/>
  <c r="BF414" i="35" s="1"/>
  <c r="AT414" i="35"/>
  <c r="BE414" i="35" s="1"/>
  <c r="AS414" i="35"/>
  <c r="BD414" i="35" s="1"/>
  <c r="AR414" i="35"/>
  <c r="BC414" i="35" s="1"/>
  <c r="AQ414" i="35"/>
  <c r="BB414" i="35" s="1"/>
  <c r="AP414" i="35"/>
  <c r="BA414" i="35" s="1"/>
  <c r="AO414" i="35"/>
  <c r="AL414" i="35"/>
  <c r="AK414" i="35"/>
  <c r="AJ414" i="35"/>
  <c r="AI414" i="35"/>
  <c r="AH414" i="35"/>
  <c r="AG414" i="35"/>
  <c r="AF414" i="35"/>
  <c r="AE414" i="35"/>
  <c r="AD414" i="35"/>
  <c r="AW413" i="35"/>
  <c r="BH413" i="35" s="1"/>
  <c r="AV413" i="35"/>
  <c r="BG413" i="35" s="1"/>
  <c r="AU413" i="35"/>
  <c r="BF413" i="35" s="1"/>
  <c r="AT413" i="35"/>
  <c r="BE413" i="35" s="1"/>
  <c r="AS413" i="35"/>
  <c r="BD413" i="35" s="1"/>
  <c r="AR413" i="35"/>
  <c r="BC413" i="35" s="1"/>
  <c r="AQ413" i="35"/>
  <c r="BB413" i="35" s="1"/>
  <c r="AP413" i="35"/>
  <c r="BA413" i="35" s="1"/>
  <c r="AO413" i="35"/>
  <c r="AZ413" i="35" s="1"/>
  <c r="AL413" i="35"/>
  <c r="AK413" i="35"/>
  <c r="AJ413" i="35"/>
  <c r="AI413" i="35"/>
  <c r="AH413" i="35"/>
  <c r="AG413" i="35"/>
  <c r="AF413" i="35"/>
  <c r="AE413" i="35"/>
  <c r="AD413" i="35"/>
  <c r="AW412" i="35"/>
  <c r="BH412" i="35" s="1"/>
  <c r="AV412" i="35"/>
  <c r="BG412" i="35" s="1"/>
  <c r="AU412" i="35"/>
  <c r="BF412" i="35" s="1"/>
  <c r="AT412" i="35"/>
  <c r="BE412" i="35" s="1"/>
  <c r="AS412" i="35"/>
  <c r="BD412" i="35" s="1"/>
  <c r="AR412" i="35"/>
  <c r="BC412" i="35" s="1"/>
  <c r="AQ412" i="35"/>
  <c r="BB412" i="35" s="1"/>
  <c r="AP412" i="35"/>
  <c r="BA412" i="35" s="1"/>
  <c r="AO412" i="35"/>
  <c r="AZ412" i="35" s="1"/>
  <c r="AL412" i="35"/>
  <c r="AK412" i="35"/>
  <c r="AJ412" i="35"/>
  <c r="AI412" i="35"/>
  <c r="AH412" i="35"/>
  <c r="AG412" i="35"/>
  <c r="AF412" i="35"/>
  <c r="AE412" i="35"/>
  <c r="AD412" i="35"/>
  <c r="AW411" i="35"/>
  <c r="BH411" i="35" s="1"/>
  <c r="AV411" i="35"/>
  <c r="BG411" i="35" s="1"/>
  <c r="AU411" i="35"/>
  <c r="BF411" i="35" s="1"/>
  <c r="AT411" i="35"/>
  <c r="BE411" i="35" s="1"/>
  <c r="AS411" i="35"/>
  <c r="BD411" i="35" s="1"/>
  <c r="AR411" i="35"/>
  <c r="BC411" i="35" s="1"/>
  <c r="AQ411" i="35"/>
  <c r="BB411" i="35" s="1"/>
  <c r="AP411" i="35"/>
  <c r="BA411" i="35" s="1"/>
  <c r="AO411" i="35"/>
  <c r="AZ411" i="35" s="1"/>
  <c r="AL411" i="35"/>
  <c r="AK411" i="35"/>
  <c r="AJ411" i="35"/>
  <c r="AI411" i="35"/>
  <c r="AH411" i="35"/>
  <c r="AG411" i="35"/>
  <c r="AF411" i="35"/>
  <c r="AE411" i="35"/>
  <c r="AD411" i="35"/>
  <c r="AW410" i="35"/>
  <c r="BH410" i="35" s="1"/>
  <c r="AV410" i="35"/>
  <c r="BG410" i="35" s="1"/>
  <c r="AU410" i="35"/>
  <c r="BF410" i="35" s="1"/>
  <c r="AT410" i="35"/>
  <c r="BE410" i="35" s="1"/>
  <c r="AS410" i="35"/>
  <c r="BD410" i="35" s="1"/>
  <c r="AR410" i="35"/>
  <c r="BC410" i="35" s="1"/>
  <c r="AQ410" i="35"/>
  <c r="BB410" i="35" s="1"/>
  <c r="AP410" i="35"/>
  <c r="BA410" i="35" s="1"/>
  <c r="AO410" i="35"/>
  <c r="AZ410" i="35" s="1"/>
  <c r="AL410" i="35"/>
  <c r="AK410" i="35"/>
  <c r="AJ410" i="35"/>
  <c r="AI410" i="35"/>
  <c r="AH410" i="35"/>
  <c r="AG410" i="35"/>
  <c r="AF410" i="35"/>
  <c r="AE410" i="35"/>
  <c r="AD410" i="35"/>
  <c r="BH409" i="35"/>
  <c r="AW409" i="35"/>
  <c r="AV409" i="35"/>
  <c r="BG409" i="35" s="1"/>
  <c r="AU409" i="35"/>
  <c r="BF409" i="35" s="1"/>
  <c r="AT409" i="35"/>
  <c r="BE409" i="35" s="1"/>
  <c r="AS409" i="35"/>
  <c r="BD409" i="35" s="1"/>
  <c r="AR409" i="35"/>
  <c r="BC409" i="35" s="1"/>
  <c r="AQ409" i="35"/>
  <c r="BB409" i="35" s="1"/>
  <c r="AP409" i="35"/>
  <c r="BA409" i="35" s="1"/>
  <c r="AO409" i="35"/>
  <c r="AZ409" i="35" s="1"/>
  <c r="AL409" i="35"/>
  <c r="AK409" i="35"/>
  <c r="AJ409" i="35"/>
  <c r="AI409" i="35"/>
  <c r="AH409" i="35"/>
  <c r="AG409" i="35"/>
  <c r="AF409" i="35"/>
  <c r="AE409" i="35"/>
  <c r="AD409" i="35"/>
  <c r="AW408" i="35"/>
  <c r="BH408" i="35" s="1"/>
  <c r="AV408" i="35"/>
  <c r="BG408" i="35" s="1"/>
  <c r="AU408" i="35"/>
  <c r="BF408" i="35" s="1"/>
  <c r="AT408" i="35"/>
  <c r="BE408" i="35" s="1"/>
  <c r="AS408" i="35"/>
  <c r="BD408" i="35" s="1"/>
  <c r="AR408" i="35"/>
  <c r="BC408" i="35" s="1"/>
  <c r="AQ408" i="35"/>
  <c r="BB408" i="35" s="1"/>
  <c r="AP408" i="35"/>
  <c r="BA408" i="35" s="1"/>
  <c r="AO408" i="35"/>
  <c r="AZ408" i="35" s="1"/>
  <c r="AL408" i="35"/>
  <c r="AK408" i="35"/>
  <c r="AJ408" i="35"/>
  <c r="AI408" i="35"/>
  <c r="AH408" i="35"/>
  <c r="AG408" i="35"/>
  <c r="AF408" i="35"/>
  <c r="AE408" i="35"/>
  <c r="AD408" i="35"/>
  <c r="AW407" i="35"/>
  <c r="BH407" i="35" s="1"/>
  <c r="AV407" i="35"/>
  <c r="BG407" i="35" s="1"/>
  <c r="AU407" i="35"/>
  <c r="BF407" i="35" s="1"/>
  <c r="AT407" i="35"/>
  <c r="BE407" i="35" s="1"/>
  <c r="AS407" i="35"/>
  <c r="BD407" i="35" s="1"/>
  <c r="AR407" i="35"/>
  <c r="BC407" i="35" s="1"/>
  <c r="AQ407" i="35"/>
  <c r="BB407" i="35" s="1"/>
  <c r="AP407" i="35"/>
  <c r="BA407" i="35" s="1"/>
  <c r="AO407" i="35"/>
  <c r="AZ407" i="35" s="1"/>
  <c r="AL407" i="35"/>
  <c r="AK407" i="35"/>
  <c r="AJ407" i="35"/>
  <c r="AI407" i="35"/>
  <c r="AH407" i="35"/>
  <c r="AG407" i="35"/>
  <c r="AF407" i="35"/>
  <c r="AE407" i="35"/>
  <c r="AD407" i="35"/>
  <c r="AW406" i="35"/>
  <c r="BH406" i="35" s="1"/>
  <c r="AV406" i="35"/>
  <c r="BG406" i="35" s="1"/>
  <c r="AU406" i="35"/>
  <c r="BF406" i="35" s="1"/>
  <c r="AT406" i="35"/>
  <c r="BE406" i="35" s="1"/>
  <c r="AS406" i="35"/>
  <c r="BD406" i="35" s="1"/>
  <c r="AR406" i="35"/>
  <c r="BC406" i="35" s="1"/>
  <c r="AQ406" i="35"/>
  <c r="BB406" i="35" s="1"/>
  <c r="AP406" i="35"/>
  <c r="BA406" i="35" s="1"/>
  <c r="AO406" i="35"/>
  <c r="AZ406" i="35" s="1"/>
  <c r="AL406" i="35"/>
  <c r="AK406" i="35"/>
  <c r="AJ406" i="35"/>
  <c r="AI406" i="35"/>
  <c r="AH406" i="35"/>
  <c r="AG406" i="35"/>
  <c r="AF406" i="35"/>
  <c r="AE406" i="35"/>
  <c r="AD406" i="35"/>
  <c r="AW405" i="35"/>
  <c r="BH405" i="35" s="1"/>
  <c r="AV405" i="35"/>
  <c r="BG405" i="35" s="1"/>
  <c r="AU405" i="35"/>
  <c r="BF405" i="35" s="1"/>
  <c r="AT405" i="35"/>
  <c r="BE405" i="35" s="1"/>
  <c r="AS405" i="35"/>
  <c r="BD405" i="35" s="1"/>
  <c r="AR405" i="35"/>
  <c r="BC405" i="35" s="1"/>
  <c r="AQ405" i="35"/>
  <c r="BB405" i="35" s="1"/>
  <c r="AP405" i="35"/>
  <c r="BA405" i="35" s="1"/>
  <c r="AO405" i="35"/>
  <c r="AZ405" i="35" s="1"/>
  <c r="AL405" i="35"/>
  <c r="AK405" i="35"/>
  <c r="AJ405" i="35"/>
  <c r="AI405" i="35"/>
  <c r="AH405" i="35"/>
  <c r="AG405" i="35"/>
  <c r="AF405" i="35"/>
  <c r="AE405" i="35"/>
  <c r="AD405" i="35"/>
  <c r="AW404" i="35"/>
  <c r="BH404" i="35" s="1"/>
  <c r="AV404" i="35"/>
  <c r="BG404" i="35" s="1"/>
  <c r="AU404" i="35"/>
  <c r="BF404" i="35" s="1"/>
  <c r="AT404" i="35"/>
  <c r="BE404" i="35" s="1"/>
  <c r="AS404" i="35"/>
  <c r="BD404" i="35" s="1"/>
  <c r="AR404" i="35"/>
  <c r="BC404" i="35" s="1"/>
  <c r="AQ404" i="35"/>
  <c r="BB404" i="35" s="1"/>
  <c r="AP404" i="35"/>
  <c r="BA404" i="35" s="1"/>
  <c r="AO404" i="35"/>
  <c r="AZ404" i="35" s="1"/>
  <c r="AL404" i="35"/>
  <c r="AK404" i="35"/>
  <c r="AJ404" i="35"/>
  <c r="AI404" i="35"/>
  <c r="AH404" i="35"/>
  <c r="AG404" i="35"/>
  <c r="AF404" i="35"/>
  <c r="AE404" i="35"/>
  <c r="AD404" i="35"/>
  <c r="AW402" i="35"/>
  <c r="BH402" i="35" s="1"/>
  <c r="AV402" i="35"/>
  <c r="BG402" i="35" s="1"/>
  <c r="AU402" i="35"/>
  <c r="BF402" i="35" s="1"/>
  <c r="AT402" i="35"/>
  <c r="BE402" i="35" s="1"/>
  <c r="AS402" i="35"/>
  <c r="BD402" i="35" s="1"/>
  <c r="AR402" i="35"/>
  <c r="BC402" i="35" s="1"/>
  <c r="AQ402" i="35"/>
  <c r="BB402" i="35" s="1"/>
  <c r="AP402" i="35"/>
  <c r="BA402" i="35" s="1"/>
  <c r="AO402" i="35"/>
  <c r="AZ402" i="35" s="1"/>
  <c r="AL402" i="35"/>
  <c r="AK402" i="35"/>
  <c r="AJ402" i="35"/>
  <c r="AI402" i="35"/>
  <c r="AH402" i="35"/>
  <c r="AG402" i="35"/>
  <c r="AF402" i="35"/>
  <c r="AE402" i="35"/>
  <c r="AD402" i="35"/>
  <c r="AW401" i="35"/>
  <c r="BH401" i="35" s="1"/>
  <c r="AV401" i="35"/>
  <c r="BG401" i="35" s="1"/>
  <c r="AU401" i="35"/>
  <c r="BF401" i="35" s="1"/>
  <c r="AT401" i="35"/>
  <c r="BE401" i="35" s="1"/>
  <c r="AS401" i="35"/>
  <c r="BD401" i="35" s="1"/>
  <c r="AR401" i="35"/>
  <c r="BC401" i="35" s="1"/>
  <c r="AQ401" i="35"/>
  <c r="BB401" i="35" s="1"/>
  <c r="AP401" i="35"/>
  <c r="BA401" i="35" s="1"/>
  <c r="AO401" i="35"/>
  <c r="AZ401" i="35" s="1"/>
  <c r="AL401" i="35"/>
  <c r="AK401" i="35"/>
  <c r="AJ401" i="35"/>
  <c r="AI401" i="35"/>
  <c r="AH401" i="35"/>
  <c r="AG401" i="35"/>
  <c r="AF401" i="35"/>
  <c r="AE401" i="35"/>
  <c r="AD401" i="35"/>
  <c r="AW400" i="35"/>
  <c r="BH400" i="35" s="1"/>
  <c r="AV400" i="35"/>
  <c r="BG400" i="35" s="1"/>
  <c r="AU400" i="35"/>
  <c r="BF400" i="35" s="1"/>
  <c r="AT400" i="35"/>
  <c r="BE400" i="35" s="1"/>
  <c r="AS400" i="35"/>
  <c r="BD400" i="35" s="1"/>
  <c r="AR400" i="35"/>
  <c r="BC400" i="35" s="1"/>
  <c r="AQ400" i="35"/>
  <c r="BB400" i="35" s="1"/>
  <c r="AP400" i="35"/>
  <c r="BA400" i="35" s="1"/>
  <c r="AO400" i="35"/>
  <c r="AZ400" i="35" s="1"/>
  <c r="AL400" i="35"/>
  <c r="AK400" i="35"/>
  <c r="AJ400" i="35"/>
  <c r="AI400" i="35"/>
  <c r="AH400" i="35"/>
  <c r="AG400" i="35"/>
  <c r="AF400" i="35"/>
  <c r="AE400" i="35"/>
  <c r="AD400" i="35"/>
  <c r="AW399" i="35"/>
  <c r="BH399" i="35" s="1"/>
  <c r="AV399" i="35"/>
  <c r="BG399" i="35" s="1"/>
  <c r="AU399" i="35"/>
  <c r="BF399" i="35" s="1"/>
  <c r="AT399" i="35"/>
  <c r="BE399" i="35" s="1"/>
  <c r="AS399" i="35"/>
  <c r="BD399" i="35" s="1"/>
  <c r="AR399" i="35"/>
  <c r="BC399" i="35" s="1"/>
  <c r="AQ399" i="35"/>
  <c r="BB399" i="35" s="1"/>
  <c r="AP399" i="35"/>
  <c r="BA399" i="35" s="1"/>
  <c r="AO399" i="35"/>
  <c r="AZ399" i="35" s="1"/>
  <c r="AL399" i="35"/>
  <c r="AK399" i="35"/>
  <c r="AJ399" i="35"/>
  <c r="AI399" i="35"/>
  <c r="AH399" i="35"/>
  <c r="AG399" i="35"/>
  <c r="AF399" i="35"/>
  <c r="AE399" i="35"/>
  <c r="AD399" i="35"/>
  <c r="AW398" i="35"/>
  <c r="BH398" i="35" s="1"/>
  <c r="AV398" i="35"/>
  <c r="BG398" i="35" s="1"/>
  <c r="AU398" i="35"/>
  <c r="BF398" i="35" s="1"/>
  <c r="AT398" i="35"/>
  <c r="BE398" i="35" s="1"/>
  <c r="AS398" i="35"/>
  <c r="BD398" i="35" s="1"/>
  <c r="AR398" i="35"/>
  <c r="BC398" i="35" s="1"/>
  <c r="AQ398" i="35"/>
  <c r="BB398" i="35" s="1"/>
  <c r="AP398" i="35"/>
  <c r="BA398" i="35" s="1"/>
  <c r="AO398" i="35"/>
  <c r="AZ398" i="35" s="1"/>
  <c r="AL398" i="35"/>
  <c r="AK398" i="35"/>
  <c r="AJ398" i="35"/>
  <c r="AI398" i="35"/>
  <c r="AH398" i="35"/>
  <c r="AG398" i="35"/>
  <c r="AF398" i="35"/>
  <c r="AE398" i="35"/>
  <c r="AD398" i="35"/>
  <c r="AW397" i="35"/>
  <c r="BH397" i="35" s="1"/>
  <c r="AV397" i="35"/>
  <c r="BG397" i="35" s="1"/>
  <c r="AU397" i="35"/>
  <c r="BF397" i="35" s="1"/>
  <c r="AT397" i="35"/>
  <c r="BE397" i="35" s="1"/>
  <c r="AS397" i="35"/>
  <c r="BD397" i="35" s="1"/>
  <c r="AR397" i="35"/>
  <c r="BC397" i="35" s="1"/>
  <c r="AQ397" i="35"/>
  <c r="BB397" i="35" s="1"/>
  <c r="AP397" i="35"/>
  <c r="BA397" i="35" s="1"/>
  <c r="AO397" i="35"/>
  <c r="AZ397" i="35" s="1"/>
  <c r="AL397" i="35"/>
  <c r="AK397" i="35"/>
  <c r="AJ397" i="35"/>
  <c r="AI397" i="35"/>
  <c r="AH397" i="35"/>
  <c r="AG397" i="35"/>
  <c r="AF397" i="35"/>
  <c r="AE397" i="35"/>
  <c r="AD397" i="35"/>
  <c r="AW396" i="35"/>
  <c r="BH396" i="35" s="1"/>
  <c r="AV396" i="35"/>
  <c r="BG396" i="35" s="1"/>
  <c r="AU396" i="35"/>
  <c r="BF396" i="35" s="1"/>
  <c r="AT396" i="35"/>
  <c r="BE396" i="35" s="1"/>
  <c r="AS396" i="35"/>
  <c r="BD396" i="35" s="1"/>
  <c r="AR396" i="35"/>
  <c r="BC396" i="35" s="1"/>
  <c r="AQ396" i="35"/>
  <c r="BB396" i="35" s="1"/>
  <c r="AP396" i="35"/>
  <c r="BA396" i="35" s="1"/>
  <c r="AO396" i="35"/>
  <c r="AZ396" i="35" s="1"/>
  <c r="AL396" i="35"/>
  <c r="AK396" i="35"/>
  <c r="AJ396" i="35"/>
  <c r="AI396" i="35"/>
  <c r="AH396" i="35"/>
  <c r="AG396" i="35"/>
  <c r="AF396" i="35"/>
  <c r="AE396" i="35"/>
  <c r="AD396" i="35"/>
  <c r="AW395" i="35"/>
  <c r="BH395" i="35" s="1"/>
  <c r="AV395" i="35"/>
  <c r="BG395" i="35" s="1"/>
  <c r="AU395" i="35"/>
  <c r="BF395" i="35" s="1"/>
  <c r="AT395" i="35"/>
  <c r="BE395" i="35" s="1"/>
  <c r="AS395" i="35"/>
  <c r="BD395" i="35" s="1"/>
  <c r="AR395" i="35"/>
  <c r="BC395" i="35" s="1"/>
  <c r="AQ395" i="35"/>
  <c r="BB395" i="35" s="1"/>
  <c r="AP395" i="35"/>
  <c r="BA395" i="35" s="1"/>
  <c r="AO395" i="35"/>
  <c r="AZ395" i="35" s="1"/>
  <c r="AL395" i="35"/>
  <c r="AK395" i="35"/>
  <c r="AJ395" i="35"/>
  <c r="AI395" i="35"/>
  <c r="AH395" i="35"/>
  <c r="AG395" i="35"/>
  <c r="AF395" i="35"/>
  <c r="AE395" i="35"/>
  <c r="AD395" i="35"/>
  <c r="AW394" i="35"/>
  <c r="BH394" i="35" s="1"/>
  <c r="AV394" i="35"/>
  <c r="BG394" i="35" s="1"/>
  <c r="AU394" i="35"/>
  <c r="BF394" i="35" s="1"/>
  <c r="AT394" i="35"/>
  <c r="BE394" i="35" s="1"/>
  <c r="AS394" i="35"/>
  <c r="BD394" i="35" s="1"/>
  <c r="AR394" i="35"/>
  <c r="BC394" i="35" s="1"/>
  <c r="AQ394" i="35"/>
  <c r="BB394" i="35" s="1"/>
  <c r="AP394" i="35"/>
  <c r="BA394" i="35" s="1"/>
  <c r="AO394" i="35"/>
  <c r="AZ394" i="35" s="1"/>
  <c r="AL394" i="35"/>
  <c r="AK394" i="35"/>
  <c r="AJ394" i="35"/>
  <c r="AI394" i="35"/>
  <c r="AH394" i="35"/>
  <c r="AG394" i="35"/>
  <c r="AF394" i="35"/>
  <c r="AE394" i="35"/>
  <c r="AD394" i="35"/>
  <c r="AW393" i="35"/>
  <c r="BH393" i="35" s="1"/>
  <c r="AV393" i="35"/>
  <c r="BG393" i="35" s="1"/>
  <c r="AU393" i="35"/>
  <c r="BF393" i="35" s="1"/>
  <c r="AT393" i="35"/>
  <c r="BE393" i="35" s="1"/>
  <c r="AS393" i="35"/>
  <c r="BD393" i="35" s="1"/>
  <c r="AR393" i="35"/>
  <c r="BC393" i="35" s="1"/>
  <c r="AQ393" i="35"/>
  <c r="BB393" i="35" s="1"/>
  <c r="AP393" i="35"/>
  <c r="BA393" i="35" s="1"/>
  <c r="AO393" i="35"/>
  <c r="AZ393" i="35" s="1"/>
  <c r="AL393" i="35"/>
  <c r="AK393" i="35"/>
  <c r="AJ393" i="35"/>
  <c r="AI393" i="35"/>
  <c r="AH393" i="35"/>
  <c r="AG393" i="35"/>
  <c r="AF393" i="35"/>
  <c r="AE393" i="35"/>
  <c r="AD393" i="35"/>
  <c r="BF392" i="35"/>
  <c r="AW392" i="35"/>
  <c r="BH392" i="35" s="1"/>
  <c r="AV392" i="35"/>
  <c r="BG392" i="35" s="1"/>
  <c r="AU392" i="35"/>
  <c r="AT392" i="35"/>
  <c r="BE392" i="35" s="1"/>
  <c r="AS392" i="35"/>
  <c r="BD392" i="35" s="1"/>
  <c r="AR392" i="35"/>
  <c r="BC392" i="35" s="1"/>
  <c r="AQ392" i="35"/>
  <c r="BB392" i="35" s="1"/>
  <c r="AP392" i="35"/>
  <c r="BA392" i="35" s="1"/>
  <c r="AO392" i="35"/>
  <c r="AZ392" i="35" s="1"/>
  <c r="AL392" i="35"/>
  <c r="AK392" i="35"/>
  <c r="AJ392" i="35"/>
  <c r="AI392" i="35"/>
  <c r="AH392" i="35"/>
  <c r="AG392" i="35"/>
  <c r="AF392" i="35"/>
  <c r="AE392" i="35"/>
  <c r="AD392" i="35"/>
  <c r="AW391" i="35"/>
  <c r="BH391" i="35" s="1"/>
  <c r="AV391" i="35"/>
  <c r="BG391" i="35" s="1"/>
  <c r="AU391" i="35"/>
  <c r="BF391" i="35" s="1"/>
  <c r="AT391" i="35"/>
  <c r="BE391" i="35" s="1"/>
  <c r="AS391" i="35"/>
  <c r="BD391" i="35" s="1"/>
  <c r="AR391" i="35"/>
  <c r="BC391" i="35" s="1"/>
  <c r="AQ391" i="35"/>
  <c r="BB391" i="35" s="1"/>
  <c r="AP391" i="35"/>
  <c r="BA391" i="35" s="1"/>
  <c r="AO391" i="35"/>
  <c r="AZ391" i="35" s="1"/>
  <c r="AL391" i="35"/>
  <c r="AK391" i="35"/>
  <c r="AJ391" i="35"/>
  <c r="AI391" i="35"/>
  <c r="AH391" i="35"/>
  <c r="AG391" i="35"/>
  <c r="AF391" i="35"/>
  <c r="AE391" i="35"/>
  <c r="AD391" i="35"/>
  <c r="AW390" i="35"/>
  <c r="BH390" i="35" s="1"/>
  <c r="AV390" i="35"/>
  <c r="BG390" i="35" s="1"/>
  <c r="AU390" i="35"/>
  <c r="BF390" i="35" s="1"/>
  <c r="AT390" i="35"/>
  <c r="BE390" i="35" s="1"/>
  <c r="AS390" i="35"/>
  <c r="BD390" i="35" s="1"/>
  <c r="AR390" i="35"/>
  <c r="BC390" i="35" s="1"/>
  <c r="AQ390" i="35"/>
  <c r="BB390" i="35" s="1"/>
  <c r="AP390" i="35"/>
  <c r="BA390" i="35" s="1"/>
  <c r="AO390" i="35"/>
  <c r="AZ390" i="35" s="1"/>
  <c r="AL390" i="35"/>
  <c r="AK390" i="35"/>
  <c r="AJ390" i="35"/>
  <c r="AI390" i="35"/>
  <c r="AH390" i="35"/>
  <c r="AG390" i="35"/>
  <c r="AF390" i="35"/>
  <c r="AE390" i="35"/>
  <c r="AD390" i="35"/>
  <c r="AW389" i="35"/>
  <c r="BH389" i="35" s="1"/>
  <c r="AV389" i="35"/>
  <c r="BG389" i="35" s="1"/>
  <c r="AU389" i="35"/>
  <c r="BF389" i="35" s="1"/>
  <c r="AT389" i="35"/>
  <c r="BE389" i="35" s="1"/>
  <c r="AS389" i="35"/>
  <c r="BD389" i="35" s="1"/>
  <c r="AR389" i="35"/>
  <c r="BC389" i="35" s="1"/>
  <c r="AQ389" i="35"/>
  <c r="BB389" i="35" s="1"/>
  <c r="AP389" i="35"/>
  <c r="BA389" i="35" s="1"/>
  <c r="AO389" i="35"/>
  <c r="AZ389" i="35" s="1"/>
  <c r="AL389" i="35"/>
  <c r="AK389" i="35"/>
  <c r="AJ389" i="35"/>
  <c r="AI389" i="35"/>
  <c r="AH389" i="35"/>
  <c r="AG389" i="35"/>
  <c r="AF389" i="35"/>
  <c r="AE389" i="35"/>
  <c r="AD389" i="35"/>
  <c r="BB388" i="35"/>
  <c r="AW388" i="35"/>
  <c r="BH388" i="35" s="1"/>
  <c r="AV388" i="35"/>
  <c r="BG388" i="35" s="1"/>
  <c r="AU388" i="35"/>
  <c r="BF388" i="35" s="1"/>
  <c r="AT388" i="35"/>
  <c r="BE388" i="35" s="1"/>
  <c r="AS388" i="35"/>
  <c r="BD388" i="35" s="1"/>
  <c r="AR388" i="35"/>
  <c r="BC388" i="35" s="1"/>
  <c r="AQ388" i="35"/>
  <c r="AP388" i="35"/>
  <c r="BA388" i="35" s="1"/>
  <c r="AO388" i="35"/>
  <c r="AZ388" i="35" s="1"/>
  <c r="AL388" i="35"/>
  <c r="AK388" i="35"/>
  <c r="AJ388" i="35"/>
  <c r="AI388" i="35"/>
  <c r="AH388" i="35"/>
  <c r="AG388" i="35"/>
  <c r="AF388" i="35"/>
  <c r="AE388" i="35"/>
  <c r="AD388" i="35"/>
  <c r="AW387" i="35"/>
  <c r="BH387" i="35" s="1"/>
  <c r="AV387" i="35"/>
  <c r="BG387" i="35" s="1"/>
  <c r="AU387" i="35"/>
  <c r="BF387" i="35" s="1"/>
  <c r="AT387" i="35"/>
  <c r="BE387" i="35" s="1"/>
  <c r="AS387" i="35"/>
  <c r="BD387" i="35" s="1"/>
  <c r="AR387" i="35"/>
  <c r="BC387" i="35" s="1"/>
  <c r="AQ387" i="35"/>
  <c r="BB387" i="35" s="1"/>
  <c r="AP387" i="35"/>
  <c r="BA387" i="35" s="1"/>
  <c r="AO387" i="35"/>
  <c r="AZ387" i="35" s="1"/>
  <c r="AL387" i="35"/>
  <c r="AK387" i="35"/>
  <c r="AJ387" i="35"/>
  <c r="AI387" i="35"/>
  <c r="AH387" i="35"/>
  <c r="AG387" i="35"/>
  <c r="AF387" i="35"/>
  <c r="AE387" i="35"/>
  <c r="AD387" i="35"/>
  <c r="AW386" i="35"/>
  <c r="BH386" i="35" s="1"/>
  <c r="AV386" i="35"/>
  <c r="BG386" i="35" s="1"/>
  <c r="AU386" i="35"/>
  <c r="BF386" i="35" s="1"/>
  <c r="AT386" i="35"/>
  <c r="BE386" i="35" s="1"/>
  <c r="AS386" i="35"/>
  <c r="BD386" i="35" s="1"/>
  <c r="AR386" i="35"/>
  <c r="BC386" i="35" s="1"/>
  <c r="AQ386" i="35"/>
  <c r="BB386" i="35" s="1"/>
  <c r="AP386" i="35"/>
  <c r="BA386" i="35" s="1"/>
  <c r="AO386" i="35"/>
  <c r="AZ386" i="35" s="1"/>
  <c r="AL386" i="35"/>
  <c r="AK386" i="35"/>
  <c r="AJ386" i="35"/>
  <c r="AI386" i="35"/>
  <c r="AH386" i="35"/>
  <c r="AG386" i="35"/>
  <c r="AF386" i="35"/>
  <c r="AE386" i="35"/>
  <c r="AD386" i="35"/>
  <c r="AW385" i="35"/>
  <c r="BH385" i="35" s="1"/>
  <c r="AV385" i="35"/>
  <c r="BG385" i="35" s="1"/>
  <c r="AU385" i="35"/>
  <c r="BF385" i="35" s="1"/>
  <c r="AT385" i="35"/>
  <c r="BE385" i="35" s="1"/>
  <c r="AS385" i="35"/>
  <c r="BD385" i="35" s="1"/>
  <c r="AR385" i="35"/>
  <c r="BC385" i="35" s="1"/>
  <c r="AQ385" i="35"/>
  <c r="BB385" i="35" s="1"/>
  <c r="AP385" i="35"/>
  <c r="BA385" i="35" s="1"/>
  <c r="AO385" i="35"/>
  <c r="AZ385" i="35" s="1"/>
  <c r="AL385" i="35"/>
  <c r="AK385" i="35"/>
  <c r="AJ385" i="35"/>
  <c r="AI385" i="35"/>
  <c r="AH385" i="35"/>
  <c r="AG385" i="35"/>
  <c r="AF385" i="35"/>
  <c r="AE385" i="35"/>
  <c r="AD385" i="35"/>
  <c r="AW384" i="35"/>
  <c r="BH384" i="35" s="1"/>
  <c r="AV384" i="35"/>
  <c r="BG384" i="35" s="1"/>
  <c r="AU384" i="35"/>
  <c r="BF384" i="35" s="1"/>
  <c r="AT384" i="35"/>
  <c r="BE384" i="35" s="1"/>
  <c r="AS384" i="35"/>
  <c r="BD384" i="35" s="1"/>
  <c r="AR384" i="35"/>
  <c r="BC384" i="35" s="1"/>
  <c r="AQ384" i="35"/>
  <c r="BB384" i="35" s="1"/>
  <c r="AP384" i="35"/>
  <c r="BA384" i="35" s="1"/>
  <c r="AO384" i="35"/>
  <c r="AZ384" i="35" s="1"/>
  <c r="AL384" i="35"/>
  <c r="AK384" i="35"/>
  <c r="AJ384" i="35"/>
  <c r="AI384" i="35"/>
  <c r="AH384" i="35"/>
  <c r="AG384" i="35"/>
  <c r="AF384" i="35"/>
  <c r="AE384" i="35"/>
  <c r="AD384" i="35"/>
  <c r="AW383" i="35"/>
  <c r="BH383" i="35" s="1"/>
  <c r="AV383" i="35"/>
  <c r="BG383" i="35" s="1"/>
  <c r="AU383" i="35"/>
  <c r="BF383" i="35" s="1"/>
  <c r="AT383" i="35"/>
  <c r="BE383" i="35" s="1"/>
  <c r="AS383" i="35"/>
  <c r="BD383" i="35" s="1"/>
  <c r="AR383" i="35"/>
  <c r="BC383" i="35" s="1"/>
  <c r="AQ383" i="35"/>
  <c r="BB383" i="35" s="1"/>
  <c r="AP383" i="35"/>
  <c r="BA383" i="35" s="1"/>
  <c r="AO383" i="35"/>
  <c r="AZ383" i="35" s="1"/>
  <c r="AL383" i="35"/>
  <c r="AK383" i="35"/>
  <c r="AJ383" i="35"/>
  <c r="AI383" i="35"/>
  <c r="AH383" i="35"/>
  <c r="AG383" i="35"/>
  <c r="AF383" i="35"/>
  <c r="AE383" i="35"/>
  <c r="AD383" i="35"/>
  <c r="AW382" i="35"/>
  <c r="BH382" i="35" s="1"/>
  <c r="AV382" i="35"/>
  <c r="BG382" i="35" s="1"/>
  <c r="AU382" i="35"/>
  <c r="BF382" i="35" s="1"/>
  <c r="AT382" i="35"/>
  <c r="BE382" i="35" s="1"/>
  <c r="AS382" i="35"/>
  <c r="BD382" i="35" s="1"/>
  <c r="AR382" i="35"/>
  <c r="BC382" i="35" s="1"/>
  <c r="AQ382" i="35"/>
  <c r="BB382" i="35" s="1"/>
  <c r="AP382" i="35"/>
  <c r="BA382" i="35" s="1"/>
  <c r="AO382" i="35"/>
  <c r="AZ382" i="35" s="1"/>
  <c r="AL382" i="35"/>
  <c r="AK382" i="35"/>
  <c r="AJ382" i="35"/>
  <c r="AI382" i="35"/>
  <c r="AH382" i="35"/>
  <c r="AG382" i="35"/>
  <c r="AF382" i="35"/>
  <c r="AE382" i="35"/>
  <c r="AD382" i="35"/>
  <c r="AW381" i="35"/>
  <c r="BH381" i="35" s="1"/>
  <c r="AV381" i="35"/>
  <c r="BG381" i="35" s="1"/>
  <c r="AU381" i="35"/>
  <c r="BF381" i="35" s="1"/>
  <c r="AT381" i="35"/>
  <c r="BE381" i="35" s="1"/>
  <c r="AS381" i="35"/>
  <c r="BD381" i="35" s="1"/>
  <c r="AR381" i="35"/>
  <c r="BC381" i="35" s="1"/>
  <c r="AQ381" i="35"/>
  <c r="BB381" i="35" s="1"/>
  <c r="AP381" i="35"/>
  <c r="BA381" i="35" s="1"/>
  <c r="AO381" i="35"/>
  <c r="AZ381" i="35" s="1"/>
  <c r="AL381" i="35"/>
  <c r="AK381" i="35"/>
  <c r="AJ381" i="35"/>
  <c r="AI381" i="35"/>
  <c r="AH381" i="35"/>
  <c r="AG381" i="35"/>
  <c r="AF381" i="35"/>
  <c r="AE381" i="35"/>
  <c r="AD381" i="35"/>
  <c r="AW380" i="35"/>
  <c r="BH380" i="35" s="1"/>
  <c r="AV380" i="35"/>
  <c r="BG380" i="35" s="1"/>
  <c r="AU380" i="35"/>
  <c r="BF380" i="35" s="1"/>
  <c r="AT380" i="35"/>
  <c r="BE380" i="35" s="1"/>
  <c r="AS380" i="35"/>
  <c r="BD380" i="35" s="1"/>
  <c r="AR380" i="35"/>
  <c r="BC380" i="35" s="1"/>
  <c r="AQ380" i="35"/>
  <c r="BB380" i="35" s="1"/>
  <c r="AP380" i="35"/>
  <c r="BA380" i="35" s="1"/>
  <c r="AO380" i="35"/>
  <c r="AZ380" i="35" s="1"/>
  <c r="AL380" i="35"/>
  <c r="AK380" i="35"/>
  <c r="AJ380" i="35"/>
  <c r="AI380" i="35"/>
  <c r="AH380" i="35"/>
  <c r="AG380" i="35"/>
  <c r="AF380" i="35"/>
  <c r="AE380" i="35"/>
  <c r="AD380" i="35"/>
  <c r="AW379" i="35"/>
  <c r="BH379" i="35" s="1"/>
  <c r="AV379" i="35"/>
  <c r="BG379" i="35" s="1"/>
  <c r="AU379" i="35"/>
  <c r="BF379" i="35" s="1"/>
  <c r="AT379" i="35"/>
  <c r="BE379" i="35" s="1"/>
  <c r="AS379" i="35"/>
  <c r="BD379" i="35" s="1"/>
  <c r="AR379" i="35"/>
  <c r="BC379" i="35" s="1"/>
  <c r="AQ379" i="35"/>
  <c r="BB379" i="35" s="1"/>
  <c r="AP379" i="35"/>
  <c r="BA379" i="35" s="1"/>
  <c r="AO379" i="35"/>
  <c r="AZ379" i="35" s="1"/>
  <c r="AL379" i="35"/>
  <c r="AK379" i="35"/>
  <c r="AJ379" i="35"/>
  <c r="AI379" i="35"/>
  <c r="AH379" i="35"/>
  <c r="AG379" i="35"/>
  <c r="AF379" i="35"/>
  <c r="AE379" i="35"/>
  <c r="AD379" i="35"/>
  <c r="AW378" i="35"/>
  <c r="BH378" i="35" s="1"/>
  <c r="AV378" i="35"/>
  <c r="BG378" i="35" s="1"/>
  <c r="AU378" i="35"/>
  <c r="BF378" i="35" s="1"/>
  <c r="AT378" i="35"/>
  <c r="BE378" i="35" s="1"/>
  <c r="AS378" i="35"/>
  <c r="BD378" i="35" s="1"/>
  <c r="AR378" i="35"/>
  <c r="BC378" i="35" s="1"/>
  <c r="AQ378" i="35"/>
  <c r="BB378" i="35" s="1"/>
  <c r="AP378" i="35"/>
  <c r="BA378" i="35" s="1"/>
  <c r="AO378" i="35"/>
  <c r="AZ378" i="35" s="1"/>
  <c r="AL378" i="35"/>
  <c r="AK378" i="35"/>
  <c r="AJ378" i="35"/>
  <c r="AI378" i="35"/>
  <c r="AH378" i="35"/>
  <c r="AG378" i="35"/>
  <c r="AF378" i="35"/>
  <c r="AE378" i="35"/>
  <c r="AD378" i="35"/>
  <c r="AW377" i="35"/>
  <c r="BH377" i="35" s="1"/>
  <c r="AV377" i="35"/>
  <c r="BG377" i="35" s="1"/>
  <c r="AU377" i="35"/>
  <c r="BF377" i="35" s="1"/>
  <c r="AT377" i="35"/>
  <c r="BE377" i="35" s="1"/>
  <c r="AS377" i="35"/>
  <c r="BD377" i="35" s="1"/>
  <c r="AR377" i="35"/>
  <c r="BC377" i="35" s="1"/>
  <c r="AQ377" i="35"/>
  <c r="BB377" i="35" s="1"/>
  <c r="AP377" i="35"/>
  <c r="BA377" i="35" s="1"/>
  <c r="AO377" i="35"/>
  <c r="AZ377" i="35" s="1"/>
  <c r="AL377" i="35"/>
  <c r="AK377" i="35"/>
  <c r="AJ377" i="35"/>
  <c r="AI377" i="35"/>
  <c r="AH377" i="35"/>
  <c r="AG377" i="35"/>
  <c r="AF377" i="35"/>
  <c r="AE377" i="35"/>
  <c r="AD377" i="35"/>
  <c r="AW376" i="35"/>
  <c r="BH376" i="35" s="1"/>
  <c r="AV376" i="35"/>
  <c r="BG376" i="35" s="1"/>
  <c r="AU376" i="35"/>
  <c r="BF376" i="35" s="1"/>
  <c r="AT376" i="35"/>
  <c r="BE376" i="35" s="1"/>
  <c r="AS376" i="35"/>
  <c r="BD376" i="35" s="1"/>
  <c r="AR376" i="35"/>
  <c r="BC376" i="35" s="1"/>
  <c r="AQ376" i="35"/>
  <c r="BB376" i="35" s="1"/>
  <c r="AP376" i="35"/>
  <c r="BA376" i="35" s="1"/>
  <c r="AO376" i="35"/>
  <c r="AZ376" i="35" s="1"/>
  <c r="AL376" i="35"/>
  <c r="AK376" i="35"/>
  <c r="AJ376" i="35"/>
  <c r="AI376" i="35"/>
  <c r="AH376" i="35"/>
  <c r="AG376" i="35"/>
  <c r="AF376" i="35"/>
  <c r="AE376" i="35"/>
  <c r="AD376" i="35"/>
  <c r="AW375" i="35"/>
  <c r="BH375" i="35" s="1"/>
  <c r="AV375" i="35"/>
  <c r="BG375" i="35" s="1"/>
  <c r="AU375" i="35"/>
  <c r="BF375" i="35" s="1"/>
  <c r="AT375" i="35"/>
  <c r="BE375" i="35" s="1"/>
  <c r="AS375" i="35"/>
  <c r="BD375" i="35" s="1"/>
  <c r="AR375" i="35"/>
  <c r="BC375" i="35" s="1"/>
  <c r="AQ375" i="35"/>
  <c r="BB375" i="35" s="1"/>
  <c r="AP375" i="35"/>
  <c r="BA375" i="35" s="1"/>
  <c r="AO375" i="35"/>
  <c r="AZ375" i="35" s="1"/>
  <c r="AL375" i="35"/>
  <c r="AK375" i="35"/>
  <c r="AJ375" i="35"/>
  <c r="AI375" i="35"/>
  <c r="AH375" i="35"/>
  <c r="AG375" i="35"/>
  <c r="AF375" i="35"/>
  <c r="AE375" i="35"/>
  <c r="AD375" i="35"/>
  <c r="AW374" i="35"/>
  <c r="BH374" i="35" s="1"/>
  <c r="AV374" i="35"/>
  <c r="BG374" i="35" s="1"/>
  <c r="AU374" i="35"/>
  <c r="BF374" i="35" s="1"/>
  <c r="AT374" i="35"/>
  <c r="BE374" i="35" s="1"/>
  <c r="AS374" i="35"/>
  <c r="BD374" i="35" s="1"/>
  <c r="AR374" i="35"/>
  <c r="BC374" i="35" s="1"/>
  <c r="AQ374" i="35"/>
  <c r="BB374" i="35" s="1"/>
  <c r="AP374" i="35"/>
  <c r="BA374" i="35" s="1"/>
  <c r="AO374" i="35"/>
  <c r="AZ374" i="35" s="1"/>
  <c r="AL374" i="35"/>
  <c r="AK374" i="35"/>
  <c r="AJ374" i="35"/>
  <c r="AI374" i="35"/>
  <c r="AH374" i="35"/>
  <c r="AG374" i="35"/>
  <c r="AF374" i="35"/>
  <c r="AE374" i="35"/>
  <c r="AD374" i="35"/>
  <c r="AW373" i="35"/>
  <c r="BH373" i="35" s="1"/>
  <c r="AV373" i="35"/>
  <c r="BG373" i="35" s="1"/>
  <c r="AU373" i="35"/>
  <c r="BF373" i="35" s="1"/>
  <c r="AT373" i="35"/>
  <c r="BE373" i="35" s="1"/>
  <c r="AS373" i="35"/>
  <c r="BD373" i="35" s="1"/>
  <c r="AR373" i="35"/>
  <c r="BC373" i="35" s="1"/>
  <c r="AQ373" i="35"/>
  <c r="BB373" i="35" s="1"/>
  <c r="AP373" i="35"/>
  <c r="BA373" i="35" s="1"/>
  <c r="AO373" i="35"/>
  <c r="AZ373" i="35" s="1"/>
  <c r="AL373" i="35"/>
  <c r="AK373" i="35"/>
  <c r="AJ373" i="35"/>
  <c r="AI373" i="35"/>
  <c r="AH373" i="35"/>
  <c r="AG373" i="35"/>
  <c r="AF373" i="35"/>
  <c r="AE373" i="35"/>
  <c r="AD373" i="35"/>
  <c r="AW372" i="35"/>
  <c r="BH372" i="35" s="1"/>
  <c r="AV372" i="35"/>
  <c r="BG372" i="35" s="1"/>
  <c r="AU372" i="35"/>
  <c r="BF372" i="35" s="1"/>
  <c r="AT372" i="35"/>
  <c r="BE372" i="35" s="1"/>
  <c r="AS372" i="35"/>
  <c r="BD372" i="35" s="1"/>
  <c r="AR372" i="35"/>
  <c r="BC372" i="35" s="1"/>
  <c r="AQ372" i="35"/>
  <c r="BB372" i="35" s="1"/>
  <c r="AP372" i="35"/>
  <c r="BA372" i="35" s="1"/>
  <c r="AO372" i="35"/>
  <c r="AZ372" i="35" s="1"/>
  <c r="AL372" i="35"/>
  <c r="AK372" i="35"/>
  <c r="AJ372" i="35"/>
  <c r="AI372" i="35"/>
  <c r="AH372" i="35"/>
  <c r="AG372" i="35"/>
  <c r="AF372" i="35"/>
  <c r="AE372" i="35"/>
  <c r="AD372" i="35"/>
  <c r="AW371" i="35"/>
  <c r="BH371" i="35" s="1"/>
  <c r="AV371" i="35"/>
  <c r="BG371" i="35" s="1"/>
  <c r="AU371" i="35"/>
  <c r="BF371" i="35" s="1"/>
  <c r="AT371" i="35"/>
  <c r="BE371" i="35" s="1"/>
  <c r="AS371" i="35"/>
  <c r="BD371" i="35" s="1"/>
  <c r="AR371" i="35"/>
  <c r="BC371" i="35" s="1"/>
  <c r="AQ371" i="35"/>
  <c r="BB371" i="35" s="1"/>
  <c r="AP371" i="35"/>
  <c r="BA371" i="35" s="1"/>
  <c r="AO371" i="35"/>
  <c r="AZ371" i="35" s="1"/>
  <c r="AL371" i="35"/>
  <c r="AK371" i="35"/>
  <c r="AJ371" i="35"/>
  <c r="AI371" i="35"/>
  <c r="AH371" i="35"/>
  <c r="AG371" i="35"/>
  <c r="AF371" i="35"/>
  <c r="AE371" i="35"/>
  <c r="AD371" i="35"/>
  <c r="AW370" i="35"/>
  <c r="BH370" i="35" s="1"/>
  <c r="AV370" i="35"/>
  <c r="BG370" i="35" s="1"/>
  <c r="AU370" i="35"/>
  <c r="BF370" i="35" s="1"/>
  <c r="AT370" i="35"/>
  <c r="BE370" i="35" s="1"/>
  <c r="AS370" i="35"/>
  <c r="BD370" i="35" s="1"/>
  <c r="AR370" i="35"/>
  <c r="BC370" i="35" s="1"/>
  <c r="AQ370" i="35"/>
  <c r="BB370" i="35" s="1"/>
  <c r="AP370" i="35"/>
  <c r="BA370" i="35" s="1"/>
  <c r="AO370" i="35"/>
  <c r="AZ370" i="35" s="1"/>
  <c r="AL370" i="35"/>
  <c r="AK370" i="35"/>
  <c r="AJ370" i="35"/>
  <c r="AI370" i="35"/>
  <c r="AH370" i="35"/>
  <c r="AG370" i="35"/>
  <c r="AF370" i="35"/>
  <c r="AE370" i="35"/>
  <c r="AD370" i="35"/>
  <c r="BH369" i="35"/>
  <c r="AW369" i="35"/>
  <c r="AV369" i="35"/>
  <c r="BG369" i="35" s="1"/>
  <c r="AU369" i="35"/>
  <c r="BF369" i="35" s="1"/>
  <c r="AT369" i="35"/>
  <c r="BE369" i="35" s="1"/>
  <c r="AS369" i="35"/>
  <c r="BD369" i="35" s="1"/>
  <c r="AR369" i="35"/>
  <c r="BC369" i="35" s="1"/>
  <c r="AQ369" i="35"/>
  <c r="BB369" i="35" s="1"/>
  <c r="AP369" i="35"/>
  <c r="BA369" i="35" s="1"/>
  <c r="AO369" i="35"/>
  <c r="AZ369" i="35" s="1"/>
  <c r="AL369" i="35"/>
  <c r="AK369" i="35"/>
  <c r="AJ369" i="35"/>
  <c r="AI369" i="35"/>
  <c r="AH369" i="35"/>
  <c r="AG369" i="35"/>
  <c r="AF369" i="35"/>
  <c r="AE369" i="35"/>
  <c r="AD369" i="35"/>
  <c r="AW368" i="35"/>
  <c r="BH368" i="35" s="1"/>
  <c r="AV368" i="35"/>
  <c r="BG368" i="35" s="1"/>
  <c r="AU368" i="35"/>
  <c r="BF368" i="35" s="1"/>
  <c r="AT368" i="35"/>
  <c r="BE368" i="35" s="1"/>
  <c r="AS368" i="35"/>
  <c r="BD368" i="35" s="1"/>
  <c r="AR368" i="35"/>
  <c r="BC368" i="35" s="1"/>
  <c r="AQ368" i="35"/>
  <c r="BB368" i="35" s="1"/>
  <c r="AP368" i="35"/>
  <c r="BA368" i="35" s="1"/>
  <c r="AO368" i="35"/>
  <c r="AZ368" i="35" s="1"/>
  <c r="AL368" i="35"/>
  <c r="AK368" i="35"/>
  <c r="AJ368" i="35"/>
  <c r="AI368" i="35"/>
  <c r="AH368" i="35"/>
  <c r="AG368" i="35"/>
  <c r="AF368" i="35"/>
  <c r="AE368" i="35"/>
  <c r="AD368" i="35"/>
  <c r="AW367" i="35"/>
  <c r="BH367" i="35" s="1"/>
  <c r="AV367" i="35"/>
  <c r="BG367" i="35" s="1"/>
  <c r="AU367" i="35"/>
  <c r="BF367" i="35" s="1"/>
  <c r="AT367" i="35"/>
  <c r="BE367" i="35" s="1"/>
  <c r="AS367" i="35"/>
  <c r="BD367" i="35" s="1"/>
  <c r="AR367" i="35"/>
  <c r="BC367" i="35" s="1"/>
  <c r="AQ367" i="35"/>
  <c r="BB367" i="35" s="1"/>
  <c r="AP367" i="35"/>
  <c r="BA367" i="35" s="1"/>
  <c r="AO367" i="35"/>
  <c r="AZ367" i="35" s="1"/>
  <c r="AL367" i="35"/>
  <c r="AK367" i="35"/>
  <c r="AJ367" i="35"/>
  <c r="AI367" i="35"/>
  <c r="AH367" i="35"/>
  <c r="AG367" i="35"/>
  <c r="AF367" i="35"/>
  <c r="AE367" i="35"/>
  <c r="AD367" i="35"/>
  <c r="AW366" i="35"/>
  <c r="BH366" i="35" s="1"/>
  <c r="AV366" i="35"/>
  <c r="BG366" i="35" s="1"/>
  <c r="AU366" i="35"/>
  <c r="BF366" i="35" s="1"/>
  <c r="AT366" i="35"/>
  <c r="BE366" i="35" s="1"/>
  <c r="AS366" i="35"/>
  <c r="BD366" i="35" s="1"/>
  <c r="AR366" i="35"/>
  <c r="BC366" i="35" s="1"/>
  <c r="AQ366" i="35"/>
  <c r="BB366" i="35" s="1"/>
  <c r="AP366" i="35"/>
  <c r="BA366" i="35" s="1"/>
  <c r="AO366" i="35"/>
  <c r="AZ366" i="35" s="1"/>
  <c r="AL366" i="35"/>
  <c r="AK366" i="35"/>
  <c r="AJ366" i="35"/>
  <c r="AI366" i="35"/>
  <c r="AH366" i="35"/>
  <c r="AG366" i="35"/>
  <c r="AF366" i="35"/>
  <c r="AE366" i="35"/>
  <c r="AD366" i="35"/>
  <c r="AW365" i="35"/>
  <c r="BH365" i="35" s="1"/>
  <c r="AV365" i="35"/>
  <c r="BG365" i="35" s="1"/>
  <c r="AU365" i="35"/>
  <c r="BF365" i="35" s="1"/>
  <c r="AT365" i="35"/>
  <c r="BE365" i="35" s="1"/>
  <c r="AS365" i="35"/>
  <c r="BD365" i="35" s="1"/>
  <c r="AR365" i="35"/>
  <c r="BC365" i="35" s="1"/>
  <c r="AQ365" i="35"/>
  <c r="BB365" i="35" s="1"/>
  <c r="AP365" i="35"/>
  <c r="BA365" i="35" s="1"/>
  <c r="AO365" i="35"/>
  <c r="AZ365" i="35" s="1"/>
  <c r="AL365" i="35"/>
  <c r="AK365" i="35"/>
  <c r="AJ365" i="35"/>
  <c r="AI365" i="35"/>
  <c r="AH365" i="35"/>
  <c r="AG365" i="35"/>
  <c r="AF365" i="35"/>
  <c r="AE365" i="35"/>
  <c r="AD365" i="35"/>
  <c r="BB364" i="35"/>
  <c r="AW364" i="35"/>
  <c r="BH364" i="35" s="1"/>
  <c r="AV364" i="35"/>
  <c r="BG364" i="35" s="1"/>
  <c r="AU364" i="35"/>
  <c r="BF364" i="35" s="1"/>
  <c r="AT364" i="35"/>
  <c r="BE364" i="35" s="1"/>
  <c r="AS364" i="35"/>
  <c r="BD364" i="35" s="1"/>
  <c r="AR364" i="35"/>
  <c r="BC364" i="35" s="1"/>
  <c r="AQ364" i="35"/>
  <c r="AP364" i="35"/>
  <c r="BA364" i="35" s="1"/>
  <c r="AO364" i="35"/>
  <c r="AZ364" i="35" s="1"/>
  <c r="AL364" i="35"/>
  <c r="AK364" i="35"/>
  <c r="AJ364" i="35"/>
  <c r="AI364" i="35"/>
  <c r="AH364" i="35"/>
  <c r="AG364" i="35"/>
  <c r="AF364" i="35"/>
  <c r="AE364" i="35"/>
  <c r="AD364" i="35"/>
  <c r="BE363" i="35"/>
  <c r="AW363" i="35"/>
  <c r="BH363" i="35" s="1"/>
  <c r="AV363" i="35"/>
  <c r="BG363" i="35" s="1"/>
  <c r="AU363" i="35"/>
  <c r="BF363" i="35" s="1"/>
  <c r="AT363" i="35"/>
  <c r="AS363" i="35"/>
  <c r="BD363" i="35" s="1"/>
  <c r="AR363" i="35"/>
  <c r="BC363" i="35" s="1"/>
  <c r="AQ363" i="35"/>
  <c r="BB363" i="35" s="1"/>
  <c r="AP363" i="35"/>
  <c r="BA363" i="35" s="1"/>
  <c r="AO363" i="35"/>
  <c r="AZ363" i="35" s="1"/>
  <c r="AL363" i="35"/>
  <c r="AK363" i="35"/>
  <c r="AJ363" i="35"/>
  <c r="AI363" i="35"/>
  <c r="AH363" i="35"/>
  <c r="AG363" i="35"/>
  <c r="AF363" i="35"/>
  <c r="AE363" i="35"/>
  <c r="AD363" i="35"/>
  <c r="BH361" i="35"/>
  <c r="AW361" i="35"/>
  <c r="AV361" i="35"/>
  <c r="BG361" i="35" s="1"/>
  <c r="AU361" i="35"/>
  <c r="BF361" i="35" s="1"/>
  <c r="AT361" i="35"/>
  <c r="BE361" i="35" s="1"/>
  <c r="AS361" i="35"/>
  <c r="BD361" i="35" s="1"/>
  <c r="AR361" i="35"/>
  <c r="BC361" i="35" s="1"/>
  <c r="AQ361" i="35"/>
  <c r="BB361" i="35" s="1"/>
  <c r="AP361" i="35"/>
  <c r="BA361" i="35" s="1"/>
  <c r="AO361" i="35"/>
  <c r="AZ361" i="35" s="1"/>
  <c r="AL361" i="35"/>
  <c r="AK361" i="35"/>
  <c r="AJ361" i="35"/>
  <c r="AI361" i="35"/>
  <c r="AH361" i="35"/>
  <c r="AG361" i="35"/>
  <c r="AF361" i="35"/>
  <c r="AE361" i="35"/>
  <c r="AD361" i="35"/>
  <c r="BF360" i="35"/>
  <c r="AW360" i="35"/>
  <c r="BH360" i="35" s="1"/>
  <c r="AV360" i="35"/>
  <c r="BG360" i="35" s="1"/>
  <c r="AU360" i="35"/>
  <c r="AT360" i="35"/>
  <c r="BE360" i="35" s="1"/>
  <c r="AS360" i="35"/>
  <c r="BD360" i="35" s="1"/>
  <c r="AR360" i="35"/>
  <c r="BC360" i="35" s="1"/>
  <c r="AQ360" i="35"/>
  <c r="BB360" i="35" s="1"/>
  <c r="AP360" i="35"/>
  <c r="BA360" i="35" s="1"/>
  <c r="AO360" i="35"/>
  <c r="AZ360" i="35" s="1"/>
  <c r="AL360" i="35"/>
  <c r="AK360" i="35"/>
  <c r="AJ360" i="35"/>
  <c r="AI360" i="35"/>
  <c r="AH360" i="35"/>
  <c r="AG360" i="35"/>
  <c r="AF360" i="35"/>
  <c r="AE360" i="35"/>
  <c r="AD360" i="35"/>
  <c r="AW359" i="35"/>
  <c r="BH359" i="35" s="1"/>
  <c r="AV359" i="35"/>
  <c r="BG359" i="35" s="1"/>
  <c r="AU359" i="35"/>
  <c r="BF359" i="35" s="1"/>
  <c r="AT359" i="35"/>
  <c r="BE359" i="35" s="1"/>
  <c r="AS359" i="35"/>
  <c r="BD359" i="35" s="1"/>
  <c r="AR359" i="35"/>
  <c r="BC359" i="35" s="1"/>
  <c r="AQ359" i="35"/>
  <c r="BB359" i="35" s="1"/>
  <c r="AP359" i="35"/>
  <c r="BA359" i="35" s="1"/>
  <c r="AO359" i="35"/>
  <c r="AZ359" i="35" s="1"/>
  <c r="AL359" i="35"/>
  <c r="AK359" i="35"/>
  <c r="AJ359" i="35"/>
  <c r="AI359" i="35"/>
  <c r="AH359" i="35"/>
  <c r="AG359" i="35"/>
  <c r="AF359" i="35"/>
  <c r="AE359" i="35"/>
  <c r="AD359" i="35"/>
  <c r="AW358" i="35"/>
  <c r="BH358" i="35" s="1"/>
  <c r="AV358" i="35"/>
  <c r="BG358" i="35" s="1"/>
  <c r="AU358" i="35"/>
  <c r="BF358" i="35" s="1"/>
  <c r="AT358" i="35"/>
  <c r="BE358" i="35" s="1"/>
  <c r="AS358" i="35"/>
  <c r="BD358" i="35" s="1"/>
  <c r="AR358" i="35"/>
  <c r="BC358" i="35" s="1"/>
  <c r="AQ358" i="35"/>
  <c r="BB358" i="35" s="1"/>
  <c r="AP358" i="35"/>
  <c r="BA358" i="35" s="1"/>
  <c r="AO358" i="35"/>
  <c r="AZ358" i="35" s="1"/>
  <c r="AL358" i="35"/>
  <c r="AK358" i="35"/>
  <c r="AJ358" i="35"/>
  <c r="AI358" i="35"/>
  <c r="AH358" i="35"/>
  <c r="AG358" i="35"/>
  <c r="AF358" i="35"/>
  <c r="AE358" i="35"/>
  <c r="AD358" i="35"/>
  <c r="AW357" i="35"/>
  <c r="BH357" i="35" s="1"/>
  <c r="AV357" i="35"/>
  <c r="BG357" i="35" s="1"/>
  <c r="AU357" i="35"/>
  <c r="BF357" i="35" s="1"/>
  <c r="AT357" i="35"/>
  <c r="BE357" i="35" s="1"/>
  <c r="AS357" i="35"/>
  <c r="BD357" i="35" s="1"/>
  <c r="AR357" i="35"/>
  <c r="BC357" i="35" s="1"/>
  <c r="AQ357" i="35"/>
  <c r="BB357" i="35" s="1"/>
  <c r="AP357" i="35"/>
  <c r="BA357" i="35" s="1"/>
  <c r="AO357" i="35"/>
  <c r="AZ357" i="35" s="1"/>
  <c r="AL357" i="35"/>
  <c r="AK357" i="35"/>
  <c r="AJ357" i="35"/>
  <c r="AI357" i="35"/>
  <c r="AH357" i="35"/>
  <c r="AG357" i="35"/>
  <c r="AF357" i="35"/>
  <c r="AE357" i="35"/>
  <c r="AD357" i="35"/>
  <c r="AW356" i="35"/>
  <c r="BH356" i="35" s="1"/>
  <c r="AV356" i="35"/>
  <c r="BG356" i="35" s="1"/>
  <c r="AU356" i="35"/>
  <c r="BF356" i="35" s="1"/>
  <c r="AT356" i="35"/>
  <c r="BE356" i="35" s="1"/>
  <c r="AS356" i="35"/>
  <c r="BD356" i="35" s="1"/>
  <c r="AR356" i="35"/>
  <c r="BC356" i="35" s="1"/>
  <c r="AQ356" i="35"/>
  <c r="BB356" i="35" s="1"/>
  <c r="AP356" i="35"/>
  <c r="BA356" i="35" s="1"/>
  <c r="AO356" i="35"/>
  <c r="AZ356" i="35" s="1"/>
  <c r="AL356" i="35"/>
  <c r="AK356" i="35"/>
  <c r="AJ356" i="35"/>
  <c r="AI356" i="35"/>
  <c r="AH356" i="35"/>
  <c r="AG356" i="35"/>
  <c r="AF356" i="35"/>
  <c r="AE356" i="35"/>
  <c r="AD356" i="35"/>
  <c r="AW355" i="35"/>
  <c r="BH355" i="35" s="1"/>
  <c r="AV355" i="35"/>
  <c r="BG355" i="35" s="1"/>
  <c r="AU355" i="35"/>
  <c r="BF355" i="35" s="1"/>
  <c r="AT355" i="35"/>
  <c r="BE355" i="35" s="1"/>
  <c r="AS355" i="35"/>
  <c r="BD355" i="35" s="1"/>
  <c r="AR355" i="35"/>
  <c r="BC355" i="35" s="1"/>
  <c r="AQ355" i="35"/>
  <c r="BB355" i="35" s="1"/>
  <c r="AP355" i="35"/>
  <c r="BA355" i="35" s="1"/>
  <c r="AO355" i="35"/>
  <c r="AZ355" i="35" s="1"/>
  <c r="AL355" i="35"/>
  <c r="AK355" i="35"/>
  <c r="AJ355" i="35"/>
  <c r="AI355" i="35"/>
  <c r="AH355" i="35"/>
  <c r="AG355" i="35"/>
  <c r="AF355" i="35"/>
  <c r="AE355" i="35"/>
  <c r="AD355" i="35"/>
  <c r="AW354" i="35"/>
  <c r="BH354" i="35" s="1"/>
  <c r="AV354" i="35"/>
  <c r="BG354" i="35" s="1"/>
  <c r="AU354" i="35"/>
  <c r="BF354" i="35" s="1"/>
  <c r="AT354" i="35"/>
  <c r="BE354" i="35" s="1"/>
  <c r="AS354" i="35"/>
  <c r="BD354" i="35" s="1"/>
  <c r="AR354" i="35"/>
  <c r="BC354" i="35" s="1"/>
  <c r="AQ354" i="35"/>
  <c r="BB354" i="35" s="1"/>
  <c r="AP354" i="35"/>
  <c r="BA354" i="35" s="1"/>
  <c r="AO354" i="35"/>
  <c r="AZ354" i="35" s="1"/>
  <c r="AL354" i="35"/>
  <c r="AK354" i="35"/>
  <c r="AJ354" i="35"/>
  <c r="AI354" i="35"/>
  <c r="AH354" i="35"/>
  <c r="AG354" i="35"/>
  <c r="AF354" i="35"/>
  <c r="AE354" i="35"/>
  <c r="AD354" i="35"/>
  <c r="BH353" i="35"/>
  <c r="AW353" i="35"/>
  <c r="AV353" i="35"/>
  <c r="BG353" i="35" s="1"/>
  <c r="AU353" i="35"/>
  <c r="BF353" i="35" s="1"/>
  <c r="AT353" i="35"/>
  <c r="BE353" i="35" s="1"/>
  <c r="AS353" i="35"/>
  <c r="BD353" i="35" s="1"/>
  <c r="AR353" i="35"/>
  <c r="BC353" i="35" s="1"/>
  <c r="AQ353" i="35"/>
  <c r="BB353" i="35" s="1"/>
  <c r="AP353" i="35"/>
  <c r="BA353" i="35" s="1"/>
  <c r="AO353" i="35"/>
  <c r="AZ353" i="35" s="1"/>
  <c r="AL353" i="35"/>
  <c r="AK353" i="35"/>
  <c r="AJ353" i="35"/>
  <c r="AI353" i="35"/>
  <c r="AH353" i="35"/>
  <c r="AG353" i="35"/>
  <c r="AF353" i="35"/>
  <c r="AE353" i="35"/>
  <c r="AD353" i="35"/>
  <c r="AW352" i="35"/>
  <c r="BH352" i="35" s="1"/>
  <c r="AV352" i="35"/>
  <c r="BG352" i="35" s="1"/>
  <c r="AU352" i="35"/>
  <c r="BF352" i="35" s="1"/>
  <c r="AT352" i="35"/>
  <c r="BE352" i="35" s="1"/>
  <c r="AS352" i="35"/>
  <c r="BD352" i="35" s="1"/>
  <c r="AR352" i="35"/>
  <c r="BC352" i="35" s="1"/>
  <c r="AQ352" i="35"/>
  <c r="BB352" i="35" s="1"/>
  <c r="AP352" i="35"/>
  <c r="BA352" i="35" s="1"/>
  <c r="AO352" i="35"/>
  <c r="AZ352" i="35" s="1"/>
  <c r="AL352" i="35"/>
  <c r="AK352" i="35"/>
  <c r="AJ352" i="35"/>
  <c r="AI352" i="35"/>
  <c r="AH352" i="35"/>
  <c r="AG352" i="35"/>
  <c r="AF352" i="35"/>
  <c r="AE352" i="35"/>
  <c r="AD352" i="35"/>
  <c r="AW351" i="35"/>
  <c r="BH351" i="35" s="1"/>
  <c r="AV351" i="35"/>
  <c r="BG351" i="35" s="1"/>
  <c r="AU351" i="35"/>
  <c r="BF351" i="35" s="1"/>
  <c r="AT351" i="35"/>
  <c r="BE351" i="35" s="1"/>
  <c r="AS351" i="35"/>
  <c r="BD351" i="35" s="1"/>
  <c r="AR351" i="35"/>
  <c r="BC351" i="35" s="1"/>
  <c r="AQ351" i="35"/>
  <c r="BB351" i="35" s="1"/>
  <c r="AP351" i="35"/>
  <c r="BA351" i="35" s="1"/>
  <c r="AO351" i="35"/>
  <c r="AZ351" i="35" s="1"/>
  <c r="AL351" i="35"/>
  <c r="AK351" i="35"/>
  <c r="AJ351" i="35"/>
  <c r="AI351" i="35"/>
  <c r="AH351" i="35"/>
  <c r="AG351" i="35"/>
  <c r="AF351" i="35"/>
  <c r="AE351" i="35"/>
  <c r="AD351" i="35"/>
  <c r="AW350" i="35"/>
  <c r="BH350" i="35" s="1"/>
  <c r="AV350" i="35"/>
  <c r="BG350" i="35" s="1"/>
  <c r="AU350" i="35"/>
  <c r="BF350" i="35" s="1"/>
  <c r="AT350" i="35"/>
  <c r="BE350" i="35" s="1"/>
  <c r="AS350" i="35"/>
  <c r="BD350" i="35" s="1"/>
  <c r="AR350" i="35"/>
  <c r="BC350" i="35" s="1"/>
  <c r="AQ350" i="35"/>
  <c r="BB350" i="35" s="1"/>
  <c r="AP350" i="35"/>
  <c r="BA350" i="35" s="1"/>
  <c r="AO350" i="35"/>
  <c r="AZ350" i="35" s="1"/>
  <c r="AL350" i="35"/>
  <c r="AK350" i="35"/>
  <c r="AJ350" i="35"/>
  <c r="AI350" i="35"/>
  <c r="AH350" i="35"/>
  <c r="AG350" i="35"/>
  <c r="AF350" i="35"/>
  <c r="AE350" i="35"/>
  <c r="AD350" i="35"/>
  <c r="AW349" i="35"/>
  <c r="BH349" i="35" s="1"/>
  <c r="AV349" i="35"/>
  <c r="BG349" i="35" s="1"/>
  <c r="AU349" i="35"/>
  <c r="BF349" i="35" s="1"/>
  <c r="AT349" i="35"/>
  <c r="BE349" i="35" s="1"/>
  <c r="AS349" i="35"/>
  <c r="BD349" i="35" s="1"/>
  <c r="AR349" i="35"/>
  <c r="BC349" i="35" s="1"/>
  <c r="AQ349" i="35"/>
  <c r="BB349" i="35" s="1"/>
  <c r="AP349" i="35"/>
  <c r="BA349" i="35" s="1"/>
  <c r="AO349" i="35"/>
  <c r="AZ349" i="35" s="1"/>
  <c r="AL349" i="35"/>
  <c r="AK349" i="35"/>
  <c r="AJ349" i="35"/>
  <c r="AI349" i="35"/>
  <c r="AH349" i="35"/>
  <c r="AG349" i="35"/>
  <c r="AF349" i="35"/>
  <c r="AE349" i="35"/>
  <c r="AD349" i="35"/>
  <c r="AW348" i="35"/>
  <c r="BH348" i="35" s="1"/>
  <c r="AV348" i="35"/>
  <c r="BG348" i="35" s="1"/>
  <c r="AU348" i="35"/>
  <c r="BF348" i="35" s="1"/>
  <c r="AT348" i="35"/>
  <c r="BE348" i="35" s="1"/>
  <c r="AS348" i="35"/>
  <c r="BD348" i="35" s="1"/>
  <c r="AR348" i="35"/>
  <c r="BC348" i="35" s="1"/>
  <c r="AQ348" i="35"/>
  <c r="BB348" i="35" s="1"/>
  <c r="AP348" i="35"/>
  <c r="BA348" i="35" s="1"/>
  <c r="AO348" i="35"/>
  <c r="AZ348" i="35" s="1"/>
  <c r="AL348" i="35"/>
  <c r="AK348" i="35"/>
  <c r="AJ348" i="35"/>
  <c r="AI348" i="35"/>
  <c r="AH348" i="35"/>
  <c r="AG348" i="35"/>
  <c r="AF348" i="35"/>
  <c r="AE348" i="35"/>
  <c r="AD348" i="35"/>
  <c r="AW347" i="35"/>
  <c r="BH347" i="35" s="1"/>
  <c r="AV347" i="35"/>
  <c r="BG347" i="35" s="1"/>
  <c r="AU347" i="35"/>
  <c r="BF347" i="35" s="1"/>
  <c r="AT347" i="35"/>
  <c r="BE347" i="35" s="1"/>
  <c r="AS347" i="35"/>
  <c r="BD347" i="35" s="1"/>
  <c r="AR347" i="35"/>
  <c r="BC347" i="35" s="1"/>
  <c r="AQ347" i="35"/>
  <c r="BB347" i="35" s="1"/>
  <c r="AP347" i="35"/>
  <c r="BA347" i="35" s="1"/>
  <c r="AO347" i="35"/>
  <c r="AZ347" i="35" s="1"/>
  <c r="AL347" i="35"/>
  <c r="AK347" i="35"/>
  <c r="AJ347" i="35"/>
  <c r="AI347" i="35"/>
  <c r="AH347" i="35"/>
  <c r="AG347" i="35"/>
  <c r="AF347" i="35"/>
  <c r="AE347" i="35"/>
  <c r="AD347" i="35"/>
  <c r="AW346" i="35"/>
  <c r="BH346" i="35" s="1"/>
  <c r="AV346" i="35"/>
  <c r="BG346" i="35" s="1"/>
  <c r="AU346" i="35"/>
  <c r="BF346" i="35" s="1"/>
  <c r="AT346" i="35"/>
  <c r="BE346" i="35" s="1"/>
  <c r="AS346" i="35"/>
  <c r="BD346" i="35" s="1"/>
  <c r="AR346" i="35"/>
  <c r="BC346" i="35" s="1"/>
  <c r="AQ346" i="35"/>
  <c r="BB346" i="35" s="1"/>
  <c r="AP346" i="35"/>
  <c r="BA346" i="35" s="1"/>
  <c r="AO346" i="35"/>
  <c r="AZ346" i="35" s="1"/>
  <c r="AL346" i="35"/>
  <c r="AK346" i="35"/>
  <c r="AJ346" i="35"/>
  <c r="AI346" i="35"/>
  <c r="AH346" i="35"/>
  <c r="AG346" i="35"/>
  <c r="AF346" i="35"/>
  <c r="AE346" i="35"/>
  <c r="AD346" i="35"/>
  <c r="AW345" i="35"/>
  <c r="BH345" i="35" s="1"/>
  <c r="AV345" i="35"/>
  <c r="BG345" i="35" s="1"/>
  <c r="AU345" i="35"/>
  <c r="BF345" i="35" s="1"/>
  <c r="AT345" i="35"/>
  <c r="BE345" i="35" s="1"/>
  <c r="AS345" i="35"/>
  <c r="BD345" i="35" s="1"/>
  <c r="AR345" i="35"/>
  <c r="BC345" i="35" s="1"/>
  <c r="AQ345" i="35"/>
  <c r="BB345" i="35" s="1"/>
  <c r="AP345" i="35"/>
  <c r="BA345" i="35" s="1"/>
  <c r="AO345" i="35"/>
  <c r="AZ345" i="35" s="1"/>
  <c r="AL345" i="35"/>
  <c r="AK345" i="35"/>
  <c r="AJ345" i="35"/>
  <c r="AI345" i="35"/>
  <c r="AH345" i="35"/>
  <c r="AG345" i="35"/>
  <c r="AF345" i="35"/>
  <c r="AE345" i="35"/>
  <c r="AD345" i="35"/>
  <c r="AW344" i="35"/>
  <c r="BH344" i="35" s="1"/>
  <c r="AV344" i="35"/>
  <c r="BG344" i="35" s="1"/>
  <c r="AU344" i="35"/>
  <c r="BF344" i="35" s="1"/>
  <c r="AT344" i="35"/>
  <c r="BE344" i="35" s="1"/>
  <c r="AS344" i="35"/>
  <c r="BD344" i="35" s="1"/>
  <c r="AR344" i="35"/>
  <c r="BC344" i="35" s="1"/>
  <c r="AQ344" i="35"/>
  <c r="BB344" i="35" s="1"/>
  <c r="AP344" i="35"/>
  <c r="BA344" i="35" s="1"/>
  <c r="AO344" i="35"/>
  <c r="AZ344" i="35" s="1"/>
  <c r="AL344" i="35"/>
  <c r="AK344" i="35"/>
  <c r="AJ344" i="35"/>
  <c r="AI344" i="35"/>
  <c r="AH344" i="35"/>
  <c r="AG344" i="35"/>
  <c r="AF344" i="35"/>
  <c r="AE344" i="35"/>
  <c r="AD344" i="35"/>
  <c r="AW343" i="35"/>
  <c r="BH343" i="35" s="1"/>
  <c r="AV343" i="35"/>
  <c r="BG343" i="35" s="1"/>
  <c r="AU343" i="35"/>
  <c r="BF343" i="35" s="1"/>
  <c r="AT343" i="35"/>
  <c r="BE343" i="35" s="1"/>
  <c r="AS343" i="35"/>
  <c r="BD343" i="35" s="1"/>
  <c r="AR343" i="35"/>
  <c r="BC343" i="35" s="1"/>
  <c r="AQ343" i="35"/>
  <c r="BB343" i="35" s="1"/>
  <c r="AP343" i="35"/>
  <c r="BA343" i="35" s="1"/>
  <c r="AO343" i="35"/>
  <c r="AZ343" i="35" s="1"/>
  <c r="AL343" i="35"/>
  <c r="AK343" i="35"/>
  <c r="AJ343" i="35"/>
  <c r="AI343" i="35"/>
  <c r="AH343" i="35"/>
  <c r="AG343" i="35"/>
  <c r="AF343" i="35"/>
  <c r="AE343" i="35"/>
  <c r="AD343" i="35"/>
  <c r="AW342" i="35"/>
  <c r="BH342" i="35" s="1"/>
  <c r="AV342" i="35"/>
  <c r="BG342" i="35" s="1"/>
  <c r="AU342" i="35"/>
  <c r="BF342" i="35" s="1"/>
  <c r="AT342" i="35"/>
  <c r="BE342" i="35" s="1"/>
  <c r="AS342" i="35"/>
  <c r="BD342" i="35" s="1"/>
  <c r="AR342" i="35"/>
  <c r="BC342" i="35" s="1"/>
  <c r="AQ342" i="35"/>
  <c r="BB342" i="35" s="1"/>
  <c r="AP342" i="35"/>
  <c r="BA342" i="35" s="1"/>
  <c r="AO342" i="35"/>
  <c r="AZ342" i="35" s="1"/>
  <c r="AL342" i="35"/>
  <c r="AK342" i="35"/>
  <c r="AJ342" i="35"/>
  <c r="AI342" i="35"/>
  <c r="AH342" i="35"/>
  <c r="AG342" i="35"/>
  <c r="AF342" i="35"/>
  <c r="AE342" i="35"/>
  <c r="AD342" i="35"/>
  <c r="AW341" i="35"/>
  <c r="BH341" i="35" s="1"/>
  <c r="AV341" i="35"/>
  <c r="BG341" i="35" s="1"/>
  <c r="AU341" i="35"/>
  <c r="BF341" i="35" s="1"/>
  <c r="AT341" i="35"/>
  <c r="BE341" i="35" s="1"/>
  <c r="AS341" i="35"/>
  <c r="BD341" i="35" s="1"/>
  <c r="AR341" i="35"/>
  <c r="BC341" i="35" s="1"/>
  <c r="AQ341" i="35"/>
  <c r="BB341" i="35" s="1"/>
  <c r="AP341" i="35"/>
  <c r="BA341" i="35" s="1"/>
  <c r="AO341" i="35"/>
  <c r="AZ341" i="35" s="1"/>
  <c r="AL341" i="35"/>
  <c r="AK341" i="35"/>
  <c r="AJ341" i="35"/>
  <c r="AI341" i="35"/>
  <c r="AH341" i="35"/>
  <c r="AG341" i="35"/>
  <c r="AF341" i="35"/>
  <c r="AE341" i="35"/>
  <c r="AD341" i="35"/>
  <c r="AW340" i="35"/>
  <c r="BH340" i="35" s="1"/>
  <c r="AV340" i="35"/>
  <c r="BG340" i="35" s="1"/>
  <c r="AU340" i="35"/>
  <c r="BF340" i="35" s="1"/>
  <c r="AT340" i="35"/>
  <c r="BE340" i="35" s="1"/>
  <c r="AS340" i="35"/>
  <c r="BD340" i="35" s="1"/>
  <c r="AR340" i="35"/>
  <c r="BC340" i="35" s="1"/>
  <c r="AQ340" i="35"/>
  <c r="BB340" i="35" s="1"/>
  <c r="AP340" i="35"/>
  <c r="BA340" i="35" s="1"/>
  <c r="AO340" i="35"/>
  <c r="AZ340" i="35" s="1"/>
  <c r="AL340" i="35"/>
  <c r="AK340" i="35"/>
  <c r="AJ340" i="35"/>
  <c r="AI340" i="35"/>
  <c r="AH340" i="35"/>
  <c r="AG340" i="35"/>
  <c r="AF340" i="35"/>
  <c r="AE340" i="35"/>
  <c r="AD340" i="35"/>
  <c r="AW339" i="35"/>
  <c r="BH339" i="35" s="1"/>
  <c r="AV339" i="35"/>
  <c r="BG339" i="35" s="1"/>
  <c r="AU339" i="35"/>
  <c r="BF339" i="35" s="1"/>
  <c r="AT339" i="35"/>
  <c r="BE339" i="35" s="1"/>
  <c r="AS339" i="35"/>
  <c r="BD339" i="35" s="1"/>
  <c r="AR339" i="35"/>
  <c r="BC339" i="35" s="1"/>
  <c r="AQ339" i="35"/>
  <c r="BB339" i="35" s="1"/>
  <c r="AP339" i="35"/>
  <c r="BA339" i="35" s="1"/>
  <c r="AO339" i="35"/>
  <c r="AZ339" i="35" s="1"/>
  <c r="AL339" i="35"/>
  <c r="AK339" i="35"/>
  <c r="AJ339" i="35"/>
  <c r="AI339" i="35"/>
  <c r="AH339" i="35"/>
  <c r="AG339" i="35"/>
  <c r="AF339" i="35"/>
  <c r="AE339" i="35"/>
  <c r="AD339" i="35"/>
  <c r="AW338" i="35"/>
  <c r="BH338" i="35" s="1"/>
  <c r="AV338" i="35"/>
  <c r="BG338" i="35" s="1"/>
  <c r="AU338" i="35"/>
  <c r="BF338" i="35" s="1"/>
  <c r="AT338" i="35"/>
  <c r="BE338" i="35" s="1"/>
  <c r="AS338" i="35"/>
  <c r="BD338" i="35" s="1"/>
  <c r="AR338" i="35"/>
  <c r="BC338" i="35" s="1"/>
  <c r="AQ338" i="35"/>
  <c r="BB338" i="35" s="1"/>
  <c r="AP338" i="35"/>
  <c r="BA338" i="35" s="1"/>
  <c r="AO338" i="35"/>
  <c r="AZ338" i="35" s="1"/>
  <c r="AL338" i="35"/>
  <c r="AK338" i="35"/>
  <c r="AJ338" i="35"/>
  <c r="AI338" i="35"/>
  <c r="AH338" i="35"/>
  <c r="AG338" i="35"/>
  <c r="AF338" i="35"/>
  <c r="AE338" i="35"/>
  <c r="AD338" i="35"/>
  <c r="AW337" i="35"/>
  <c r="BH337" i="35" s="1"/>
  <c r="AV337" i="35"/>
  <c r="BG337" i="35" s="1"/>
  <c r="AU337" i="35"/>
  <c r="BF337" i="35" s="1"/>
  <c r="AT337" i="35"/>
  <c r="BE337" i="35" s="1"/>
  <c r="AS337" i="35"/>
  <c r="BD337" i="35" s="1"/>
  <c r="AR337" i="35"/>
  <c r="BC337" i="35" s="1"/>
  <c r="AQ337" i="35"/>
  <c r="BB337" i="35" s="1"/>
  <c r="AP337" i="35"/>
  <c r="BA337" i="35" s="1"/>
  <c r="AO337" i="35"/>
  <c r="AZ337" i="35" s="1"/>
  <c r="AL337" i="35"/>
  <c r="AK337" i="35"/>
  <c r="AJ337" i="35"/>
  <c r="AI337" i="35"/>
  <c r="AH337" i="35"/>
  <c r="AG337" i="35"/>
  <c r="AF337" i="35"/>
  <c r="AE337" i="35"/>
  <c r="AD337" i="35"/>
  <c r="AW336" i="35"/>
  <c r="BH336" i="35" s="1"/>
  <c r="AV336" i="35"/>
  <c r="BG336" i="35" s="1"/>
  <c r="AU336" i="35"/>
  <c r="BF336" i="35" s="1"/>
  <c r="AT336" i="35"/>
  <c r="BE336" i="35" s="1"/>
  <c r="AS336" i="35"/>
  <c r="BD336" i="35" s="1"/>
  <c r="AR336" i="35"/>
  <c r="BC336" i="35" s="1"/>
  <c r="AQ336" i="35"/>
  <c r="BB336" i="35" s="1"/>
  <c r="AP336" i="35"/>
  <c r="BA336" i="35" s="1"/>
  <c r="AO336" i="35"/>
  <c r="AZ336" i="35" s="1"/>
  <c r="AL336" i="35"/>
  <c r="AK336" i="35"/>
  <c r="AJ336" i="35"/>
  <c r="AI336" i="35"/>
  <c r="AH336" i="35"/>
  <c r="AG336" i="35"/>
  <c r="AF336" i="35"/>
  <c r="AE336" i="35"/>
  <c r="AD336" i="35"/>
  <c r="AW335" i="35"/>
  <c r="BH335" i="35" s="1"/>
  <c r="AV335" i="35"/>
  <c r="BG335" i="35" s="1"/>
  <c r="AU335" i="35"/>
  <c r="BF335" i="35" s="1"/>
  <c r="AT335" i="35"/>
  <c r="BE335" i="35" s="1"/>
  <c r="AS335" i="35"/>
  <c r="BD335" i="35" s="1"/>
  <c r="AR335" i="35"/>
  <c r="BC335" i="35" s="1"/>
  <c r="AQ335" i="35"/>
  <c r="BB335" i="35" s="1"/>
  <c r="AP335" i="35"/>
  <c r="BA335" i="35" s="1"/>
  <c r="AO335" i="35"/>
  <c r="AZ335" i="35" s="1"/>
  <c r="AL335" i="35"/>
  <c r="AK335" i="35"/>
  <c r="AJ335" i="35"/>
  <c r="AI335" i="35"/>
  <c r="AH335" i="35"/>
  <c r="AG335" i="35"/>
  <c r="AF335" i="35"/>
  <c r="AE335" i="35"/>
  <c r="AD335" i="35"/>
  <c r="AW334" i="35"/>
  <c r="BH334" i="35" s="1"/>
  <c r="AV334" i="35"/>
  <c r="BG334" i="35" s="1"/>
  <c r="AU334" i="35"/>
  <c r="BF334" i="35" s="1"/>
  <c r="AT334" i="35"/>
  <c r="BE334" i="35" s="1"/>
  <c r="AS334" i="35"/>
  <c r="BD334" i="35" s="1"/>
  <c r="AR334" i="35"/>
  <c r="BC334" i="35" s="1"/>
  <c r="AQ334" i="35"/>
  <c r="BB334" i="35" s="1"/>
  <c r="AP334" i="35"/>
  <c r="BA334" i="35" s="1"/>
  <c r="AO334" i="35"/>
  <c r="AZ334" i="35" s="1"/>
  <c r="AL334" i="35"/>
  <c r="AK334" i="35"/>
  <c r="AJ334" i="35"/>
  <c r="AI334" i="35"/>
  <c r="AH334" i="35"/>
  <c r="AG334" i="35"/>
  <c r="AF334" i="35"/>
  <c r="AE334" i="35"/>
  <c r="AD334" i="35"/>
  <c r="AW333" i="35"/>
  <c r="BH333" i="35" s="1"/>
  <c r="AV333" i="35"/>
  <c r="BG333" i="35" s="1"/>
  <c r="AU333" i="35"/>
  <c r="BF333" i="35" s="1"/>
  <c r="AT333" i="35"/>
  <c r="BE333" i="35" s="1"/>
  <c r="AS333" i="35"/>
  <c r="BD333" i="35" s="1"/>
  <c r="AR333" i="35"/>
  <c r="BC333" i="35" s="1"/>
  <c r="AQ333" i="35"/>
  <c r="BB333" i="35" s="1"/>
  <c r="AP333" i="35"/>
  <c r="BA333" i="35" s="1"/>
  <c r="AO333" i="35"/>
  <c r="AZ333" i="35" s="1"/>
  <c r="AL333" i="35"/>
  <c r="AK333" i="35"/>
  <c r="AJ333" i="35"/>
  <c r="AI333" i="35"/>
  <c r="AH333" i="35"/>
  <c r="AG333" i="35"/>
  <c r="AF333" i="35"/>
  <c r="AE333" i="35"/>
  <c r="AD333" i="35"/>
  <c r="AW332" i="35"/>
  <c r="BH332" i="35" s="1"/>
  <c r="AV332" i="35"/>
  <c r="BG332" i="35" s="1"/>
  <c r="AU332" i="35"/>
  <c r="BF332" i="35" s="1"/>
  <c r="AT332" i="35"/>
  <c r="BE332" i="35" s="1"/>
  <c r="AS332" i="35"/>
  <c r="BD332" i="35" s="1"/>
  <c r="AR332" i="35"/>
  <c r="BC332" i="35" s="1"/>
  <c r="AQ332" i="35"/>
  <c r="BB332" i="35" s="1"/>
  <c r="AP332" i="35"/>
  <c r="BA332" i="35" s="1"/>
  <c r="AO332" i="35"/>
  <c r="AZ332" i="35" s="1"/>
  <c r="AL332" i="35"/>
  <c r="AK332" i="35"/>
  <c r="AJ332" i="35"/>
  <c r="AI332" i="35"/>
  <c r="AH332" i="35"/>
  <c r="AG332" i="35"/>
  <c r="AF332" i="35"/>
  <c r="AE332" i="35"/>
  <c r="AD332" i="35"/>
  <c r="AW331" i="35"/>
  <c r="BH331" i="35" s="1"/>
  <c r="AV331" i="35"/>
  <c r="BG331" i="35" s="1"/>
  <c r="AU331" i="35"/>
  <c r="BF331" i="35" s="1"/>
  <c r="AT331" i="35"/>
  <c r="BE331" i="35" s="1"/>
  <c r="AS331" i="35"/>
  <c r="BD331" i="35" s="1"/>
  <c r="AR331" i="35"/>
  <c r="BC331" i="35" s="1"/>
  <c r="AQ331" i="35"/>
  <c r="BB331" i="35" s="1"/>
  <c r="AP331" i="35"/>
  <c r="BA331" i="35" s="1"/>
  <c r="AO331" i="35"/>
  <c r="AZ331" i="35" s="1"/>
  <c r="AL331" i="35"/>
  <c r="AK331" i="35"/>
  <c r="AJ331" i="35"/>
  <c r="AI331" i="35"/>
  <c r="AH331" i="35"/>
  <c r="AG331" i="35"/>
  <c r="AF331" i="35"/>
  <c r="AE331" i="35"/>
  <c r="AD331" i="35"/>
  <c r="AW330" i="35"/>
  <c r="BH330" i="35" s="1"/>
  <c r="AV330" i="35"/>
  <c r="BG330" i="35" s="1"/>
  <c r="AU330" i="35"/>
  <c r="BF330" i="35" s="1"/>
  <c r="AT330" i="35"/>
  <c r="BE330" i="35" s="1"/>
  <c r="AS330" i="35"/>
  <c r="BD330" i="35" s="1"/>
  <c r="AR330" i="35"/>
  <c r="BC330" i="35" s="1"/>
  <c r="AQ330" i="35"/>
  <c r="BB330" i="35" s="1"/>
  <c r="AP330" i="35"/>
  <c r="BA330" i="35" s="1"/>
  <c r="AO330" i="35"/>
  <c r="AZ330" i="35" s="1"/>
  <c r="AL330" i="35"/>
  <c r="AK330" i="35"/>
  <c r="AJ330" i="35"/>
  <c r="AI330" i="35"/>
  <c r="AH330" i="35"/>
  <c r="AG330" i="35"/>
  <c r="AF330" i="35"/>
  <c r="AE330" i="35"/>
  <c r="AD330" i="35"/>
  <c r="AW329" i="35"/>
  <c r="BH329" i="35" s="1"/>
  <c r="AV329" i="35"/>
  <c r="BG329" i="35" s="1"/>
  <c r="AU329" i="35"/>
  <c r="BF329" i="35" s="1"/>
  <c r="AT329" i="35"/>
  <c r="BE329" i="35" s="1"/>
  <c r="AS329" i="35"/>
  <c r="BD329" i="35" s="1"/>
  <c r="AR329" i="35"/>
  <c r="BC329" i="35" s="1"/>
  <c r="AQ329" i="35"/>
  <c r="BB329" i="35" s="1"/>
  <c r="AP329" i="35"/>
  <c r="BA329" i="35" s="1"/>
  <c r="AO329" i="35"/>
  <c r="AZ329" i="35" s="1"/>
  <c r="AL329" i="35"/>
  <c r="AK329" i="35"/>
  <c r="AJ329" i="35"/>
  <c r="AI329" i="35"/>
  <c r="AH329" i="35"/>
  <c r="AG329" i="35"/>
  <c r="AF329" i="35"/>
  <c r="AE329" i="35"/>
  <c r="AD329" i="35"/>
  <c r="BC328" i="35"/>
  <c r="AW328" i="35"/>
  <c r="BH328" i="35" s="1"/>
  <c r="AV328" i="35"/>
  <c r="BG328" i="35" s="1"/>
  <c r="AU328" i="35"/>
  <c r="BF328" i="35" s="1"/>
  <c r="AT328" i="35"/>
  <c r="BE328" i="35" s="1"/>
  <c r="AS328" i="35"/>
  <c r="BD328" i="35" s="1"/>
  <c r="AR328" i="35"/>
  <c r="AQ328" i="35"/>
  <c r="BB328" i="35" s="1"/>
  <c r="AP328" i="35"/>
  <c r="BA328" i="35" s="1"/>
  <c r="AO328" i="35"/>
  <c r="AZ328" i="35" s="1"/>
  <c r="AL328" i="35"/>
  <c r="AK328" i="35"/>
  <c r="AJ328" i="35"/>
  <c r="AI328" i="35"/>
  <c r="AH328" i="35"/>
  <c r="AG328" i="35"/>
  <c r="AF328" i="35"/>
  <c r="AE328" i="35"/>
  <c r="AD328" i="35"/>
  <c r="AW327" i="35"/>
  <c r="BH327" i="35" s="1"/>
  <c r="AV327" i="35"/>
  <c r="BG327" i="35" s="1"/>
  <c r="AU327" i="35"/>
  <c r="BF327" i="35" s="1"/>
  <c r="AT327" i="35"/>
  <c r="BE327" i="35" s="1"/>
  <c r="AS327" i="35"/>
  <c r="BD327" i="35" s="1"/>
  <c r="AR327" i="35"/>
  <c r="BC327" i="35" s="1"/>
  <c r="AQ327" i="35"/>
  <c r="BB327" i="35" s="1"/>
  <c r="AP327" i="35"/>
  <c r="BA327" i="35" s="1"/>
  <c r="AO327" i="35"/>
  <c r="AZ327" i="35" s="1"/>
  <c r="AL327" i="35"/>
  <c r="AK327" i="35"/>
  <c r="AJ327" i="35"/>
  <c r="AI327" i="35"/>
  <c r="AH327" i="35"/>
  <c r="AG327" i="35"/>
  <c r="AF327" i="35"/>
  <c r="AE327" i="35"/>
  <c r="AD327" i="35"/>
  <c r="AW326" i="35"/>
  <c r="BH326" i="35" s="1"/>
  <c r="AV326" i="35"/>
  <c r="BG326" i="35" s="1"/>
  <c r="AU326" i="35"/>
  <c r="BF326" i="35" s="1"/>
  <c r="AT326" i="35"/>
  <c r="BE326" i="35" s="1"/>
  <c r="AS326" i="35"/>
  <c r="BD326" i="35" s="1"/>
  <c r="AR326" i="35"/>
  <c r="BC326" i="35" s="1"/>
  <c r="AQ326" i="35"/>
  <c r="BB326" i="35" s="1"/>
  <c r="AP326" i="35"/>
  <c r="BA326" i="35" s="1"/>
  <c r="AO326" i="35"/>
  <c r="AZ326" i="35" s="1"/>
  <c r="AL326" i="35"/>
  <c r="AK326" i="35"/>
  <c r="AJ326" i="35"/>
  <c r="AI326" i="35"/>
  <c r="AH326" i="35"/>
  <c r="AG326" i="35"/>
  <c r="AF326" i="35"/>
  <c r="AE326" i="35"/>
  <c r="AD326" i="35"/>
  <c r="AZ325" i="35"/>
  <c r="AW325" i="35"/>
  <c r="BH325" i="35" s="1"/>
  <c r="AV325" i="35"/>
  <c r="BG325" i="35" s="1"/>
  <c r="AU325" i="35"/>
  <c r="BF325" i="35" s="1"/>
  <c r="AT325" i="35"/>
  <c r="BE325" i="35" s="1"/>
  <c r="AS325" i="35"/>
  <c r="BD325" i="35" s="1"/>
  <c r="AR325" i="35"/>
  <c r="BC325" i="35" s="1"/>
  <c r="AQ325" i="35"/>
  <c r="BB325" i="35" s="1"/>
  <c r="AP325" i="35"/>
  <c r="BA325" i="35" s="1"/>
  <c r="AO325" i="35"/>
  <c r="AL325" i="35"/>
  <c r="AK325" i="35"/>
  <c r="AJ325" i="35"/>
  <c r="AI325" i="35"/>
  <c r="AH325" i="35"/>
  <c r="AG325" i="35"/>
  <c r="AF325" i="35"/>
  <c r="AE325" i="35"/>
  <c r="AD325" i="35"/>
  <c r="BE324" i="35"/>
  <c r="AW324" i="35"/>
  <c r="BH324" i="35" s="1"/>
  <c r="AV324" i="35"/>
  <c r="BG324" i="35" s="1"/>
  <c r="AU324" i="35"/>
  <c r="BF324" i="35" s="1"/>
  <c r="AT324" i="35"/>
  <c r="AS324" i="35"/>
  <c r="BD324" i="35" s="1"/>
  <c r="AR324" i="35"/>
  <c r="BC324" i="35" s="1"/>
  <c r="AQ324" i="35"/>
  <c r="BB324" i="35" s="1"/>
  <c r="AP324" i="35"/>
  <c r="BA324" i="35" s="1"/>
  <c r="AO324" i="35"/>
  <c r="AZ324" i="35" s="1"/>
  <c r="AL324" i="35"/>
  <c r="AK324" i="35"/>
  <c r="AJ324" i="35"/>
  <c r="AI324" i="35"/>
  <c r="AH324" i="35"/>
  <c r="AG324" i="35"/>
  <c r="AF324" i="35"/>
  <c r="AE324" i="35"/>
  <c r="AD324" i="35"/>
  <c r="AW323" i="35"/>
  <c r="BH323" i="35" s="1"/>
  <c r="AV323" i="35"/>
  <c r="BG323" i="35" s="1"/>
  <c r="AU323" i="35"/>
  <c r="BF323" i="35" s="1"/>
  <c r="AT323" i="35"/>
  <c r="BE323" i="35" s="1"/>
  <c r="AS323" i="35"/>
  <c r="BD323" i="35" s="1"/>
  <c r="AR323" i="35"/>
  <c r="BC323" i="35" s="1"/>
  <c r="AQ323" i="35"/>
  <c r="BB323" i="35" s="1"/>
  <c r="AP323" i="35"/>
  <c r="BA323" i="35" s="1"/>
  <c r="AO323" i="35"/>
  <c r="AZ323" i="35" s="1"/>
  <c r="AL323" i="35"/>
  <c r="AK323" i="35"/>
  <c r="AJ323" i="35"/>
  <c r="AI323" i="35"/>
  <c r="AH323" i="35"/>
  <c r="AG323" i="35"/>
  <c r="AF323" i="35"/>
  <c r="AE323" i="35"/>
  <c r="AD323" i="35"/>
  <c r="BC322" i="35"/>
  <c r="AW322" i="35"/>
  <c r="BH322" i="35" s="1"/>
  <c r="AV322" i="35"/>
  <c r="BG322" i="35" s="1"/>
  <c r="AU322" i="35"/>
  <c r="BF322" i="35" s="1"/>
  <c r="AT322" i="35"/>
  <c r="BE322" i="35" s="1"/>
  <c r="AS322" i="35"/>
  <c r="BD322" i="35" s="1"/>
  <c r="AR322" i="35"/>
  <c r="AQ322" i="35"/>
  <c r="BB322" i="35" s="1"/>
  <c r="AP322" i="35"/>
  <c r="BA322" i="35" s="1"/>
  <c r="AO322" i="35"/>
  <c r="AZ322" i="35" s="1"/>
  <c r="AL322" i="35"/>
  <c r="AK322" i="35"/>
  <c r="AJ322" i="35"/>
  <c r="AI322" i="35"/>
  <c r="AH322" i="35"/>
  <c r="AG322" i="35"/>
  <c r="AF322" i="35"/>
  <c r="AE322" i="35"/>
  <c r="AD322" i="35"/>
  <c r="AW320" i="35"/>
  <c r="BH320" i="35" s="1"/>
  <c r="AV320" i="35"/>
  <c r="BG320" i="35" s="1"/>
  <c r="AU320" i="35"/>
  <c r="BF320" i="35" s="1"/>
  <c r="AT320" i="35"/>
  <c r="BE320" i="35" s="1"/>
  <c r="AS320" i="35"/>
  <c r="BD320" i="35" s="1"/>
  <c r="AR320" i="35"/>
  <c r="BC320" i="35" s="1"/>
  <c r="AQ320" i="35"/>
  <c r="BB320" i="35" s="1"/>
  <c r="AP320" i="35"/>
  <c r="BA320" i="35" s="1"/>
  <c r="AO320" i="35"/>
  <c r="AZ320" i="35" s="1"/>
  <c r="AL320" i="35"/>
  <c r="AK320" i="35"/>
  <c r="AJ320" i="35"/>
  <c r="AI320" i="35"/>
  <c r="AH320" i="35"/>
  <c r="AG320" i="35"/>
  <c r="AF320" i="35"/>
  <c r="AE320" i="35"/>
  <c r="AD320" i="35"/>
  <c r="AW319" i="35"/>
  <c r="BH319" i="35" s="1"/>
  <c r="AV319" i="35"/>
  <c r="BG319" i="35" s="1"/>
  <c r="AU319" i="35"/>
  <c r="BF319" i="35" s="1"/>
  <c r="AT319" i="35"/>
  <c r="BE319" i="35" s="1"/>
  <c r="AS319" i="35"/>
  <c r="BD319" i="35" s="1"/>
  <c r="AR319" i="35"/>
  <c r="BC319" i="35" s="1"/>
  <c r="AQ319" i="35"/>
  <c r="BB319" i="35" s="1"/>
  <c r="AP319" i="35"/>
  <c r="BA319" i="35" s="1"/>
  <c r="AO319" i="35"/>
  <c r="AZ319" i="35" s="1"/>
  <c r="AL319" i="35"/>
  <c r="AK319" i="35"/>
  <c r="AJ319" i="35"/>
  <c r="AI319" i="35"/>
  <c r="AH319" i="35"/>
  <c r="AG319" i="35"/>
  <c r="AF319" i="35"/>
  <c r="AE319" i="35"/>
  <c r="AD319" i="35"/>
  <c r="AW318" i="35"/>
  <c r="BH318" i="35" s="1"/>
  <c r="AV318" i="35"/>
  <c r="BG318" i="35" s="1"/>
  <c r="AU318" i="35"/>
  <c r="BF318" i="35" s="1"/>
  <c r="AT318" i="35"/>
  <c r="BE318" i="35" s="1"/>
  <c r="AS318" i="35"/>
  <c r="BD318" i="35" s="1"/>
  <c r="AR318" i="35"/>
  <c r="BC318" i="35" s="1"/>
  <c r="AQ318" i="35"/>
  <c r="BB318" i="35" s="1"/>
  <c r="AP318" i="35"/>
  <c r="BA318" i="35" s="1"/>
  <c r="AO318" i="35"/>
  <c r="AZ318" i="35" s="1"/>
  <c r="AL318" i="35"/>
  <c r="AK318" i="35"/>
  <c r="AJ318" i="35"/>
  <c r="AI318" i="35"/>
  <c r="AH318" i="35"/>
  <c r="AG318" i="35"/>
  <c r="AF318" i="35"/>
  <c r="AE318" i="35"/>
  <c r="AD318" i="35"/>
  <c r="AW317" i="35"/>
  <c r="BH317" i="35" s="1"/>
  <c r="AV317" i="35"/>
  <c r="BG317" i="35" s="1"/>
  <c r="AU317" i="35"/>
  <c r="BF317" i="35" s="1"/>
  <c r="AT317" i="35"/>
  <c r="BE317" i="35" s="1"/>
  <c r="AS317" i="35"/>
  <c r="BD317" i="35" s="1"/>
  <c r="AR317" i="35"/>
  <c r="BC317" i="35" s="1"/>
  <c r="AQ317" i="35"/>
  <c r="BB317" i="35" s="1"/>
  <c r="AP317" i="35"/>
  <c r="BA317" i="35" s="1"/>
  <c r="AO317" i="35"/>
  <c r="AZ317" i="35" s="1"/>
  <c r="AL317" i="35"/>
  <c r="AK317" i="35"/>
  <c r="AJ317" i="35"/>
  <c r="AI317" i="35"/>
  <c r="AH317" i="35"/>
  <c r="AG317" i="35"/>
  <c r="AF317" i="35"/>
  <c r="AE317" i="35"/>
  <c r="AD317" i="35"/>
  <c r="AW316" i="35"/>
  <c r="BH316" i="35" s="1"/>
  <c r="AV316" i="35"/>
  <c r="BG316" i="35" s="1"/>
  <c r="AU316" i="35"/>
  <c r="BF316" i="35" s="1"/>
  <c r="AT316" i="35"/>
  <c r="BE316" i="35" s="1"/>
  <c r="AS316" i="35"/>
  <c r="BD316" i="35" s="1"/>
  <c r="AR316" i="35"/>
  <c r="BC316" i="35" s="1"/>
  <c r="AQ316" i="35"/>
  <c r="BB316" i="35" s="1"/>
  <c r="AP316" i="35"/>
  <c r="BA316" i="35" s="1"/>
  <c r="AO316" i="35"/>
  <c r="AZ316" i="35" s="1"/>
  <c r="AL316" i="35"/>
  <c r="AK316" i="35"/>
  <c r="AJ316" i="35"/>
  <c r="AI316" i="35"/>
  <c r="AH316" i="35"/>
  <c r="AG316" i="35"/>
  <c r="AF316" i="35"/>
  <c r="AE316" i="35"/>
  <c r="AD316" i="35"/>
  <c r="AW315" i="35"/>
  <c r="BH315" i="35" s="1"/>
  <c r="AV315" i="35"/>
  <c r="BG315" i="35" s="1"/>
  <c r="AU315" i="35"/>
  <c r="BF315" i="35" s="1"/>
  <c r="AT315" i="35"/>
  <c r="BE315" i="35" s="1"/>
  <c r="AS315" i="35"/>
  <c r="BD315" i="35" s="1"/>
  <c r="AR315" i="35"/>
  <c r="BC315" i="35" s="1"/>
  <c r="AQ315" i="35"/>
  <c r="BB315" i="35" s="1"/>
  <c r="AP315" i="35"/>
  <c r="BA315" i="35" s="1"/>
  <c r="AO315" i="35"/>
  <c r="AZ315" i="35" s="1"/>
  <c r="AL315" i="35"/>
  <c r="AK315" i="35"/>
  <c r="AJ315" i="35"/>
  <c r="AI315" i="35"/>
  <c r="AH315" i="35"/>
  <c r="AG315" i="35"/>
  <c r="AF315" i="35"/>
  <c r="AE315" i="35"/>
  <c r="AD315" i="35"/>
  <c r="AW314" i="35"/>
  <c r="BH314" i="35" s="1"/>
  <c r="AV314" i="35"/>
  <c r="BG314" i="35" s="1"/>
  <c r="AU314" i="35"/>
  <c r="BF314" i="35" s="1"/>
  <c r="AT314" i="35"/>
  <c r="BE314" i="35" s="1"/>
  <c r="AS314" i="35"/>
  <c r="BD314" i="35" s="1"/>
  <c r="AR314" i="35"/>
  <c r="BC314" i="35" s="1"/>
  <c r="AQ314" i="35"/>
  <c r="BB314" i="35" s="1"/>
  <c r="AP314" i="35"/>
  <c r="BA314" i="35" s="1"/>
  <c r="AO314" i="35"/>
  <c r="AZ314" i="35" s="1"/>
  <c r="AL314" i="35"/>
  <c r="AK314" i="35"/>
  <c r="AJ314" i="35"/>
  <c r="AI314" i="35"/>
  <c r="AH314" i="35"/>
  <c r="AG314" i="35"/>
  <c r="AF314" i="35"/>
  <c r="AE314" i="35"/>
  <c r="AD314" i="35"/>
  <c r="AW313" i="35"/>
  <c r="BH313" i="35" s="1"/>
  <c r="AV313" i="35"/>
  <c r="BG313" i="35" s="1"/>
  <c r="AU313" i="35"/>
  <c r="BF313" i="35" s="1"/>
  <c r="AT313" i="35"/>
  <c r="BE313" i="35" s="1"/>
  <c r="AS313" i="35"/>
  <c r="BD313" i="35" s="1"/>
  <c r="AR313" i="35"/>
  <c r="BC313" i="35" s="1"/>
  <c r="AQ313" i="35"/>
  <c r="BB313" i="35" s="1"/>
  <c r="AP313" i="35"/>
  <c r="BA313" i="35" s="1"/>
  <c r="AO313" i="35"/>
  <c r="AZ313" i="35" s="1"/>
  <c r="AL313" i="35"/>
  <c r="AK313" i="35"/>
  <c r="AJ313" i="35"/>
  <c r="AI313" i="35"/>
  <c r="AH313" i="35"/>
  <c r="AG313" i="35"/>
  <c r="AF313" i="35"/>
  <c r="AE313" i="35"/>
  <c r="AD313" i="35"/>
  <c r="AW312" i="35"/>
  <c r="BH312" i="35" s="1"/>
  <c r="AV312" i="35"/>
  <c r="BG312" i="35" s="1"/>
  <c r="AU312" i="35"/>
  <c r="BF312" i="35" s="1"/>
  <c r="AT312" i="35"/>
  <c r="BE312" i="35" s="1"/>
  <c r="AS312" i="35"/>
  <c r="BD312" i="35" s="1"/>
  <c r="AR312" i="35"/>
  <c r="BC312" i="35" s="1"/>
  <c r="AQ312" i="35"/>
  <c r="BB312" i="35" s="1"/>
  <c r="AP312" i="35"/>
  <c r="BA312" i="35" s="1"/>
  <c r="AO312" i="35"/>
  <c r="AZ312" i="35" s="1"/>
  <c r="AL312" i="35"/>
  <c r="AK312" i="35"/>
  <c r="AJ312" i="35"/>
  <c r="AI312" i="35"/>
  <c r="AH312" i="35"/>
  <c r="AG312" i="35"/>
  <c r="AF312" i="35"/>
  <c r="AE312" i="35"/>
  <c r="AD312" i="35"/>
  <c r="AW311" i="35"/>
  <c r="BH311" i="35" s="1"/>
  <c r="AV311" i="35"/>
  <c r="BG311" i="35" s="1"/>
  <c r="AU311" i="35"/>
  <c r="BF311" i="35" s="1"/>
  <c r="AT311" i="35"/>
  <c r="BE311" i="35" s="1"/>
  <c r="AS311" i="35"/>
  <c r="BD311" i="35" s="1"/>
  <c r="AR311" i="35"/>
  <c r="BC311" i="35" s="1"/>
  <c r="AQ311" i="35"/>
  <c r="BB311" i="35" s="1"/>
  <c r="AP311" i="35"/>
  <c r="BA311" i="35" s="1"/>
  <c r="AO311" i="35"/>
  <c r="AZ311" i="35" s="1"/>
  <c r="AL311" i="35"/>
  <c r="AK311" i="35"/>
  <c r="AJ311" i="35"/>
  <c r="AI311" i="35"/>
  <c r="AH311" i="35"/>
  <c r="AG311" i="35"/>
  <c r="AF311" i="35"/>
  <c r="AE311" i="35"/>
  <c r="AD311" i="35"/>
  <c r="AW310" i="35"/>
  <c r="BH310" i="35" s="1"/>
  <c r="AV310" i="35"/>
  <c r="BG310" i="35" s="1"/>
  <c r="AU310" i="35"/>
  <c r="BF310" i="35" s="1"/>
  <c r="AT310" i="35"/>
  <c r="BE310" i="35" s="1"/>
  <c r="AS310" i="35"/>
  <c r="BD310" i="35" s="1"/>
  <c r="AR310" i="35"/>
  <c r="BC310" i="35" s="1"/>
  <c r="AQ310" i="35"/>
  <c r="BB310" i="35" s="1"/>
  <c r="AP310" i="35"/>
  <c r="BA310" i="35" s="1"/>
  <c r="AO310" i="35"/>
  <c r="AZ310" i="35" s="1"/>
  <c r="AL310" i="35"/>
  <c r="AK310" i="35"/>
  <c r="AJ310" i="35"/>
  <c r="AI310" i="35"/>
  <c r="AH310" i="35"/>
  <c r="AG310" i="35"/>
  <c r="AF310" i="35"/>
  <c r="AE310" i="35"/>
  <c r="AD310" i="35"/>
  <c r="AZ309" i="35"/>
  <c r="AW309" i="35"/>
  <c r="BH309" i="35" s="1"/>
  <c r="AV309" i="35"/>
  <c r="BG309" i="35" s="1"/>
  <c r="AU309" i="35"/>
  <c r="BF309" i="35" s="1"/>
  <c r="AT309" i="35"/>
  <c r="BE309" i="35" s="1"/>
  <c r="AS309" i="35"/>
  <c r="BD309" i="35" s="1"/>
  <c r="AR309" i="35"/>
  <c r="BC309" i="35" s="1"/>
  <c r="AQ309" i="35"/>
  <c r="BB309" i="35" s="1"/>
  <c r="AP309" i="35"/>
  <c r="BA309" i="35" s="1"/>
  <c r="AO309" i="35"/>
  <c r="AL309" i="35"/>
  <c r="AK309" i="35"/>
  <c r="AJ309" i="35"/>
  <c r="AI309" i="35"/>
  <c r="AH309" i="35"/>
  <c r="AG309" i="35"/>
  <c r="AF309" i="35"/>
  <c r="AE309" i="35"/>
  <c r="AD309" i="35"/>
  <c r="AW308" i="35"/>
  <c r="BH308" i="35" s="1"/>
  <c r="AV308" i="35"/>
  <c r="BG308" i="35" s="1"/>
  <c r="AU308" i="35"/>
  <c r="BF308" i="35" s="1"/>
  <c r="AT308" i="35"/>
  <c r="BE308" i="35" s="1"/>
  <c r="AS308" i="35"/>
  <c r="BD308" i="35" s="1"/>
  <c r="AR308" i="35"/>
  <c r="BC308" i="35" s="1"/>
  <c r="AQ308" i="35"/>
  <c r="BB308" i="35" s="1"/>
  <c r="AP308" i="35"/>
  <c r="BA308" i="35" s="1"/>
  <c r="AO308" i="35"/>
  <c r="AZ308" i="35" s="1"/>
  <c r="AL308" i="35"/>
  <c r="AK308" i="35"/>
  <c r="AJ308" i="35"/>
  <c r="AI308" i="35"/>
  <c r="AH308" i="35"/>
  <c r="AG308" i="35"/>
  <c r="AF308" i="35"/>
  <c r="AE308" i="35"/>
  <c r="AD308" i="35"/>
  <c r="BE307" i="35"/>
  <c r="AW307" i="35"/>
  <c r="BH307" i="35" s="1"/>
  <c r="AV307" i="35"/>
  <c r="BG307" i="35" s="1"/>
  <c r="AU307" i="35"/>
  <c r="BF307" i="35" s="1"/>
  <c r="AT307" i="35"/>
  <c r="AS307" i="35"/>
  <c r="BD307" i="35" s="1"/>
  <c r="AR307" i="35"/>
  <c r="BC307" i="35" s="1"/>
  <c r="AQ307" i="35"/>
  <c r="BB307" i="35" s="1"/>
  <c r="AP307" i="35"/>
  <c r="BA307" i="35" s="1"/>
  <c r="AO307" i="35"/>
  <c r="AZ307" i="35" s="1"/>
  <c r="AL307" i="35"/>
  <c r="AK307" i="35"/>
  <c r="AJ307" i="35"/>
  <c r="AI307" i="35"/>
  <c r="AH307" i="35"/>
  <c r="AG307" i="35"/>
  <c r="AF307" i="35"/>
  <c r="AE307" i="35"/>
  <c r="AD307" i="35"/>
  <c r="BE306" i="35"/>
  <c r="AW306" i="35"/>
  <c r="BH306" i="35" s="1"/>
  <c r="AV306" i="35"/>
  <c r="BG306" i="35" s="1"/>
  <c r="AU306" i="35"/>
  <c r="BF306" i="35" s="1"/>
  <c r="AT306" i="35"/>
  <c r="AS306" i="35"/>
  <c r="BD306" i="35" s="1"/>
  <c r="AR306" i="35"/>
  <c r="BC306" i="35" s="1"/>
  <c r="AQ306" i="35"/>
  <c r="BB306" i="35" s="1"/>
  <c r="AP306" i="35"/>
  <c r="BA306" i="35" s="1"/>
  <c r="AO306" i="35"/>
  <c r="AZ306" i="35" s="1"/>
  <c r="AL306" i="35"/>
  <c r="AK306" i="35"/>
  <c r="AJ306" i="35"/>
  <c r="AI306" i="35"/>
  <c r="AH306" i="35"/>
  <c r="AG306" i="35"/>
  <c r="AF306" i="35"/>
  <c r="AE306" i="35"/>
  <c r="AD306" i="35"/>
  <c r="AW305" i="35"/>
  <c r="BH305" i="35" s="1"/>
  <c r="AV305" i="35"/>
  <c r="BG305" i="35" s="1"/>
  <c r="AU305" i="35"/>
  <c r="BF305" i="35" s="1"/>
  <c r="AT305" i="35"/>
  <c r="BE305" i="35" s="1"/>
  <c r="AS305" i="35"/>
  <c r="BD305" i="35" s="1"/>
  <c r="AR305" i="35"/>
  <c r="BC305" i="35" s="1"/>
  <c r="AQ305" i="35"/>
  <c r="BB305" i="35" s="1"/>
  <c r="AP305" i="35"/>
  <c r="BA305" i="35" s="1"/>
  <c r="AO305" i="35"/>
  <c r="AZ305" i="35" s="1"/>
  <c r="AL305" i="35"/>
  <c r="AK305" i="35"/>
  <c r="AJ305" i="35"/>
  <c r="AI305" i="35"/>
  <c r="AH305" i="35"/>
  <c r="AG305" i="35"/>
  <c r="AF305" i="35"/>
  <c r="AE305" i="35"/>
  <c r="AD305" i="35"/>
  <c r="AW304" i="35"/>
  <c r="BH304" i="35" s="1"/>
  <c r="AV304" i="35"/>
  <c r="BG304" i="35" s="1"/>
  <c r="AU304" i="35"/>
  <c r="BF304" i="35" s="1"/>
  <c r="AT304" i="35"/>
  <c r="BE304" i="35" s="1"/>
  <c r="AS304" i="35"/>
  <c r="BD304" i="35" s="1"/>
  <c r="AR304" i="35"/>
  <c r="BC304" i="35" s="1"/>
  <c r="AQ304" i="35"/>
  <c r="BB304" i="35" s="1"/>
  <c r="AP304" i="35"/>
  <c r="BA304" i="35" s="1"/>
  <c r="AO304" i="35"/>
  <c r="AZ304" i="35" s="1"/>
  <c r="AL304" i="35"/>
  <c r="AK304" i="35"/>
  <c r="AJ304" i="35"/>
  <c r="AI304" i="35"/>
  <c r="AH304" i="35"/>
  <c r="AG304" i="35"/>
  <c r="AF304" i="35"/>
  <c r="AE304" i="35"/>
  <c r="AD304" i="35"/>
  <c r="AW303" i="35"/>
  <c r="BH303" i="35" s="1"/>
  <c r="AV303" i="35"/>
  <c r="BG303" i="35" s="1"/>
  <c r="AU303" i="35"/>
  <c r="BF303" i="35" s="1"/>
  <c r="AT303" i="35"/>
  <c r="BE303" i="35" s="1"/>
  <c r="AS303" i="35"/>
  <c r="BD303" i="35" s="1"/>
  <c r="AR303" i="35"/>
  <c r="BC303" i="35" s="1"/>
  <c r="AQ303" i="35"/>
  <c r="BB303" i="35" s="1"/>
  <c r="AP303" i="35"/>
  <c r="BA303" i="35" s="1"/>
  <c r="AO303" i="35"/>
  <c r="AZ303" i="35" s="1"/>
  <c r="AL303" i="35"/>
  <c r="AK303" i="35"/>
  <c r="AJ303" i="35"/>
  <c r="AI303" i="35"/>
  <c r="AH303" i="35"/>
  <c r="AG303" i="35"/>
  <c r="AF303" i="35"/>
  <c r="AE303" i="35"/>
  <c r="AD303" i="35"/>
  <c r="AW302" i="35"/>
  <c r="BH302" i="35" s="1"/>
  <c r="AV302" i="35"/>
  <c r="BG302" i="35" s="1"/>
  <c r="AU302" i="35"/>
  <c r="BF302" i="35" s="1"/>
  <c r="AT302" i="35"/>
  <c r="BE302" i="35" s="1"/>
  <c r="AS302" i="35"/>
  <c r="BD302" i="35" s="1"/>
  <c r="AR302" i="35"/>
  <c r="BC302" i="35" s="1"/>
  <c r="AQ302" i="35"/>
  <c r="BB302" i="35" s="1"/>
  <c r="AP302" i="35"/>
  <c r="BA302" i="35" s="1"/>
  <c r="AO302" i="35"/>
  <c r="AZ302" i="35" s="1"/>
  <c r="AL302" i="35"/>
  <c r="AK302" i="35"/>
  <c r="AJ302" i="35"/>
  <c r="AI302" i="35"/>
  <c r="AH302" i="35"/>
  <c r="AG302" i="35"/>
  <c r="AF302" i="35"/>
  <c r="AE302" i="35"/>
  <c r="AD302" i="35"/>
  <c r="AW301" i="35"/>
  <c r="BH301" i="35" s="1"/>
  <c r="AV301" i="35"/>
  <c r="BG301" i="35" s="1"/>
  <c r="AU301" i="35"/>
  <c r="BF301" i="35" s="1"/>
  <c r="AT301" i="35"/>
  <c r="BE301" i="35" s="1"/>
  <c r="AS301" i="35"/>
  <c r="BD301" i="35" s="1"/>
  <c r="AR301" i="35"/>
  <c r="BC301" i="35" s="1"/>
  <c r="AQ301" i="35"/>
  <c r="BB301" i="35" s="1"/>
  <c r="AP301" i="35"/>
  <c r="BA301" i="35" s="1"/>
  <c r="AO301" i="35"/>
  <c r="AZ301" i="35" s="1"/>
  <c r="AL301" i="35"/>
  <c r="AK301" i="35"/>
  <c r="AJ301" i="35"/>
  <c r="AI301" i="35"/>
  <c r="AH301" i="35"/>
  <c r="AG301" i="35"/>
  <c r="AF301" i="35"/>
  <c r="AE301" i="35"/>
  <c r="AD301" i="35"/>
  <c r="BF300" i="35"/>
  <c r="AW300" i="35"/>
  <c r="BH300" i="35" s="1"/>
  <c r="AV300" i="35"/>
  <c r="BG300" i="35" s="1"/>
  <c r="AU300" i="35"/>
  <c r="AT300" i="35"/>
  <c r="BE300" i="35" s="1"/>
  <c r="AS300" i="35"/>
  <c r="BD300" i="35" s="1"/>
  <c r="AR300" i="35"/>
  <c r="BC300" i="35" s="1"/>
  <c r="AQ300" i="35"/>
  <c r="BB300" i="35" s="1"/>
  <c r="AP300" i="35"/>
  <c r="BA300" i="35" s="1"/>
  <c r="AO300" i="35"/>
  <c r="AZ300" i="35" s="1"/>
  <c r="AL300" i="35"/>
  <c r="AK300" i="35"/>
  <c r="AJ300" i="35"/>
  <c r="AI300" i="35"/>
  <c r="AH300" i="35"/>
  <c r="AG300" i="35"/>
  <c r="AF300" i="35"/>
  <c r="AE300" i="35"/>
  <c r="AD300" i="35"/>
  <c r="AW299" i="35"/>
  <c r="BH299" i="35" s="1"/>
  <c r="AV299" i="35"/>
  <c r="BG299" i="35" s="1"/>
  <c r="AU299" i="35"/>
  <c r="BF299" i="35" s="1"/>
  <c r="AT299" i="35"/>
  <c r="BE299" i="35" s="1"/>
  <c r="AS299" i="35"/>
  <c r="BD299" i="35" s="1"/>
  <c r="AR299" i="35"/>
  <c r="BC299" i="35" s="1"/>
  <c r="AQ299" i="35"/>
  <c r="BB299" i="35" s="1"/>
  <c r="AP299" i="35"/>
  <c r="BA299" i="35" s="1"/>
  <c r="AO299" i="35"/>
  <c r="AZ299" i="35" s="1"/>
  <c r="AL299" i="35"/>
  <c r="AK299" i="35"/>
  <c r="AJ299" i="35"/>
  <c r="AI299" i="35"/>
  <c r="AH299" i="35"/>
  <c r="AG299" i="35"/>
  <c r="AF299" i="35"/>
  <c r="AE299" i="35"/>
  <c r="AD299" i="35"/>
  <c r="AW298" i="35"/>
  <c r="BH298" i="35" s="1"/>
  <c r="AV298" i="35"/>
  <c r="BG298" i="35" s="1"/>
  <c r="AU298" i="35"/>
  <c r="BF298" i="35" s="1"/>
  <c r="AT298" i="35"/>
  <c r="BE298" i="35" s="1"/>
  <c r="AS298" i="35"/>
  <c r="BD298" i="35" s="1"/>
  <c r="AR298" i="35"/>
  <c r="BC298" i="35" s="1"/>
  <c r="AQ298" i="35"/>
  <c r="BB298" i="35" s="1"/>
  <c r="AP298" i="35"/>
  <c r="BA298" i="35" s="1"/>
  <c r="AO298" i="35"/>
  <c r="AZ298" i="35" s="1"/>
  <c r="AL298" i="35"/>
  <c r="AK298" i="35"/>
  <c r="AJ298" i="35"/>
  <c r="AI298" i="35"/>
  <c r="AH298" i="35"/>
  <c r="AG298" i="35"/>
  <c r="AF298" i="35"/>
  <c r="AE298" i="35"/>
  <c r="AD298" i="35"/>
  <c r="AW297" i="35"/>
  <c r="BH297" i="35" s="1"/>
  <c r="AV297" i="35"/>
  <c r="BG297" i="35" s="1"/>
  <c r="AU297" i="35"/>
  <c r="BF297" i="35" s="1"/>
  <c r="AT297" i="35"/>
  <c r="BE297" i="35" s="1"/>
  <c r="AS297" i="35"/>
  <c r="BD297" i="35" s="1"/>
  <c r="AR297" i="35"/>
  <c r="BC297" i="35" s="1"/>
  <c r="AQ297" i="35"/>
  <c r="BB297" i="35" s="1"/>
  <c r="AP297" i="35"/>
  <c r="BA297" i="35" s="1"/>
  <c r="AO297" i="35"/>
  <c r="AZ297" i="35" s="1"/>
  <c r="AL297" i="35"/>
  <c r="AK297" i="35"/>
  <c r="AJ297" i="35"/>
  <c r="AI297" i="35"/>
  <c r="AH297" i="35"/>
  <c r="AG297" i="35"/>
  <c r="AF297" i="35"/>
  <c r="AE297" i="35"/>
  <c r="AD297" i="35"/>
  <c r="BF296" i="35"/>
  <c r="AW296" i="35"/>
  <c r="BH296" i="35" s="1"/>
  <c r="AV296" i="35"/>
  <c r="BG296" i="35" s="1"/>
  <c r="AU296" i="35"/>
  <c r="AT296" i="35"/>
  <c r="BE296" i="35" s="1"/>
  <c r="AS296" i="35"/>
  <c r="BD296" i="35" s="1"/>
  <c r="AR296" i="35"/>
  <c r="BC296" i="35" s="1"/>
  <c r="AQ296" i="35"/>
  <c r="BB296" i="35" s="1"/>
  <c r="AP296" i="35"/>
  <c r="BA296" i="35" s="1"/>
  <c r="AO296" i="35"/>
  <c r="AZ296" i="35" s="1"/>
  <c r="AL296" i="35"/>
  <c r="AK296" i="35"/>
  <c r="AJ296" i="35"/>
  <c r="AI296" i="35"/>
  <c r="AH296" i="35"/>
  <c r="AG296" i="35"/>
  <c r="AF296" i="35"/>
  <c r="AE296" i="35"/>
  <c r="AD296" i="35"/>
  <c r="AW295" i="35"/>
  <c r="BH295" i="35" s="1"/>
  <c r="AV295" i="35"/>
  <c r="BG295" i="35" s="1"/>
  <c r="AU295" i="35"/>
  <c r="BF295" i="35" s="1"/>
  <c r="AT295" i="35"/>
  <c r="BE295" i="35" s="1"/>
  <c r="AS295" i="35"/>
  <c r="BD295" i="35" s="1"/>
  <c r="AR295" i="35"/>
  <c r="BC295" i="35" s="1"/>
  <c r="AQ295" i="35"/>
  <c r="BB295" i="35" s="1"/>
  <c r="AP295" i="35"/>
  <c r="BA295" i="35" s="1"/>
  <c r="AO295" i="35"/>
  <c r="AZ295" i="35" s="1"/>
  <c r="AL295" i="35"/>
  <c r="AK295" i="35"/>
  <c r="AJ295" i="35"/>
  <c r="AI295" i="35"/>
  <c r="AH295" i="35"/>
  <c r="AG295" i="35"/>
  <c r="AF295" i="35"/>
  <c r="AE295" i="35"/>
  <c r="AD295" i="35"/>
  <c r="AW294" i="35"/>
  <c r="BH294" i="35" s="1"/>
  <c r="AV294" i="35"/>
  <c r="BG294" i="35" s="1"/>
  <c r="AU294" i="35"/>
  <c r="BF294" i="35" s="1"/>
  <c r="AT294" i="35"/>
  <c r="BE294" i="35" s="1"/>
  <c r="AS294" i="35"/>
  <c r="BD294" i="35" s="1"/>
  <c r="AR294" i="35"/>
  <c r="BC294" i="35" s="1"/>
  <c r="AQ294" i="35"/>
  <c r="BB294" i="35" s="1"/>
  <c r="AP294" i="35"/>
  <c r="BA294" i="35" s="1"/>
  <c r="AO294" i="35"/>
  <c r="AZ294" i="35" s="1"/>
  <c r="AL294" i="35"/>
  <c r="AK294" i="35"/>
  <c r="AJ294" i="35"/>
  <c r="AI294" i="35"/>
  <c r="AH294" i="35"/>
  <c r="AG294" i="35"/>
  <c r="AF294" i="35"/>
  <c r="AE294" i="35"/>
  <c r="AD294" i="35"/>
  <c r="AW293" i="35"/>
  <c r="BH293" i="35" s="1"/>
  <c r="AV293" i="35"/>
  <c r="BG293" i="35" s="1"/>
  <c r="AU293" i="35"/>
  <c r="BF293" i="35" s="1"/>
  <c r="AT293" i="35"/>
  <c r="BE293" i="35" s="1"/>
  <c r="AS293" i="35"/>
  <c r="BD293" i="35" s="1"/>
  <c r="AR293" i="35"/>
  <c r="BC293" i="35" s="1"/>
  <c r="AQ293" i="35"/>
  <c r="BB293" i="35" s="1"/>
  <c r="AP293" i="35"/>
  <c r="BA293" i="35" s="1"/>
  <c r="AO293" i="35"/>
  <c r="AZ293" i="35" s="1"/>
  <c r="AL293" i="35"/>
  <c r="AK293" i="35"/>
  <c r="AJ293" i="35"/>
  <c r="AI293" i="35"/>
  <c r="AH293" i="35"/>
  <c r="AG293" i="35"/>
  <c r="AF293" i="35"/>
  <c r="AE293" i="35"/>
  <c r="AD293" i="35"/>
  <c r="AW292" i="35"/>
  <c r="BH292" i="35" s="1"/>
  <c r="AV292" i="35"/>
  <c r="BG292" i="35" s="1"/>
  <c r="AU292" i="35"/>
  <c r="BF292" i="35" s="1"/>
  <c r="AT292" i="35"/>
  <c r="BE292" i="35" s="1"/>
  <c r="AS292" i="35"/>
  <c r="BD292" i="35" s="1"/>
  <c r="AR292" i="35"/>
  <c r="BC292" i="35" s="1"/>
  <c r="AQ292" i="35"/>
  <c r="BB292" i="35" s="1"/>
  <c r="AP292" i="35"/>
  <c r="BA292" i="35" s="1"/>
  <c r="AO292" i="35"/>
  <c r="AZ292" i="35" s="1"/>
  <c r="AL292" i="35"/>
  <c r="AK292" i="35"/>
  <c r="AJ292" i="35"/>
  <c r="AI292" i="35"/>
  <c r="AH292" i="35"/>
  <c r="AG292" i="35"/>
  <c r="AF292" i="35"/>
  <c r="AE292" i="35"/>
  <c r="AD292" i="35"/>
  <c r="AW291" i="35"/>
  <c r="BH291" i="35" s="1"/>
  <c r="AV291" i="35"/>
  <c r="BG291" i="35" s="1"/>
  <c r="AU291" i="35"/>
  <c r="BF291" i="35" s="1"/>
  <c r="AT291" i="35"/>
  <c r="BE291" i="35" s="1"/>
  <c r="AS291" i="35"/>
  <c r="BD291" i="35" s="1"/>
  <c r="AR291" i="35"/>
  <c r="BC291" i="35" s="1"/>
  <c r="AQ291" i="35"/>
  <c r="BB291" i="35" s="1"/>
  <c r="AP291" i="35"/>
  <c r="BA291" i="35" s="1"/>
  <c r="AO291" i="35"/>
  <c r="AZ291" i="35" s="1"/>
  <c r="AL291" i="35"/>
  <c r="AK291" i="35"/>
  <c r="AJ291" i="35"/>
  <c r="AI291" i="35"/>
  <c r="AH291" i="35"/>
  <c r="AG291" i="35"/>
  <c r="AF291" i="35"/>
  <c r="AE291" i="35"/>
  <c r="AD291" i="35"/>
  <c r="AW290" i="35"/>
  <c r="BH290" i="35" s="1"/>
  <c r="AV290" i="35"/>
  <c r="BG290" i="35" s="1"/>
  <c r="AU290" i="35"/>
  <c r="BF290" i="35" s="1"/>
  <c r="AT290" i="35"/>
  <c r="BE290" i="35" s="1"/>
  <c r="AS290" i="35"/>
  <c r="BD290" i="35" s="1"/>
  <c r="AR290" i="35"/>
  <c r="BC290" i="35" s="1"/>
  <c r="AQ290" i="35"/>
  <c r="BB290" i="35" s="1"/>
  <c r="AP290" i="35"/>
  <c r="BA290" i="35" s="1"/>
  <c r="AO290" i="35"/>
  <c r="AZ290" i="35" s="1"/>
  <c r="AL290" i="35"/>
  <c r="AK290" i="35"/>
  <c r="AJ290" i="35"/>
  <c r="AI290" i="35"/>
  <c r="AH290" i="35"/>
  <c r="AG290" i="35"/>
  <c r="AF290" i="35"/>
  <c r="AE290" i="35"/>
  <c r="AD290" i="35"/>
  <c r="AW289" i="35"/>
  <c r="BH289" i="35" s="1"/>
  <c r="AV289" i="35"/>
  <c r="BG289" i="35" s="1"/>
  <c r="AU289" i="35"/>
  <c r="BF289" i="35" s="1"/>
  <c r="AT289" i="35"/>
  <c r="BE289" i="35" s="1"/>
  <c r="AS289" i="35"/>
  <c r="BD289" i="35" s="1"/>
  <c r="AR289" i="35"/>
  <c r="BC289" i="35" s="1"/>
  <c r="AQ289" i="35"/>
  <c r="BB289" i="35" s="1"/>
  <c r="AP289" i="35"/>
  <c r="BA289" i="35" s="1"/>
  <c r="AO289" i="35"/>
  <c r="AZ289" i="35" s="1"/>
  <c r="AL289" i="35"/>
  <c r="AK289" i="35"/>
  <c r="AJ289" i="35"/>
  <c r="AI289" i="35"/>
  <c r="AH289" i="35"/>
  <c r="AG289" i="35"/>
  <c r="AF289" i="35"/>
  <c r="AE289" i="35"/>
  <c r="AD289" i="35"/>
  <c r="AW288" i="35"/>
  <c r="BH288" i="35" s="1"/>
  <c r="AV288" i="35"/>
  <c r="BG288" i="35" s="1"/>
  <c r="AU288" i="35"/>
  <c r="BF288" i="35" s="1"/>
  <c r="AT288" i="35"/>
  <c r="BE288" i="35" s="1"/>
  <c r="AS288" i="35"/>
  <c r="BD288" i="35" s="1"/>
  <c r="AR288" i="35"/>
  <c r="BC288" i="35" s="1"/>
  <c r="AQ288" i="35"/>
  <c r="BB288" i="35" s="1"/>
  <c r="AP288" i="35"/>
  <c r="BA288" i="35" s="1"/>
  <c r="AO288" i="35"/>
  <c r="AZ288" i="35" s="1"/>
  <c r="AL288" i="35"/>
  <c r="AK288" i="35"/>
  <c r="AJ288" i="35"/>
  <c r="AI288" i="35"/>
  <c r="AH288" i="35"/>
  <c r="AG288" i="35"/>
  <c r="AF288" i="35"/>
  <c r="AE288" i="35"/>
  <c r="AD288" i="35"/>
  <c r="BC287" i="35"/>
  <c r="AW287" i="35"/>
  <c r="BH287" i="35" s="1"/>
  <c r="AV287" i="35"/>
  <c r="BG287" i="35" s="1"/>
  <c r="AU287" i="35"/>
  <c r="BF287" i="35" s="1"/>
  <c r="AT287" i="35"/>
  <c r="BE287" i="35" s="1"/>
  <c r="AS287" i="35"/>
  <c r="BD287" i="35" s="1"/>
  <c r="AR287" i="35"/>
  <c r="AQ287" i="35"/>
  <c r="BB287" i="35" s="1"/>
  <c r="AP287" i="35"/>
  <c r="BA287" i="35" s="1"/>
  <c r="AO287" i="35"/>
  <c r="AZ287" i="35" s="1"/>
  <c r="AL287" i="35"/>
  <c r="AK287" i="35"/>
  <c r="AJ287" i="35"/>
  <c r="AI287" i="35"/>
  <c r="AH287" i="35"/>
  <c r="AG287" i="35"/>
  <c r="AF287" i="35"/>
  <c r="AE287" i="35"/>
  <c r="AD287" i="35"/>
  <c r="AW286" i="35"/>
  <c r="BH286" i="35" s="1"/>
  <c r="AV286" i="35"/>
  <c r="BG286" i="35" s="1"/>
  <c r="AU286" i="35"/>
  <c r="BF286" i="35" s="1"/>
  <c r="AT286" i="35"/>
  <c r="BE286" i="35" s="1"/>
  <c r="AS286" i="35"/>
  <c r="BD286" i="35" s="1"/>
  <c r="AR286" i="35"/>
  <c r="BC286" i="35" s="1"/>
  <c r="AQ286" i="35"/>
  <c r="BB286" i="35" s="1"/>
  <c r="AP286" i="35"/>
  <c r="BA286" i="35" s="1"/>
  <c r="AO286" i="35"/>
  <c r="AZ286" i="35" s="1"/>
  <c r="AL286" i="35"/>
  <c r="AK286" i="35"/>
  <c r="AJ286" i="35"/>
  <c r="AI286" i="35"/>
  <c r="AH286" i="35"/>
  <c r="AG286" i="35"/>
  <c r="AF286" i="35"/>
  <c r="AE286" i="35"/>
  <c r="AD286" i="35"/>
  <c r="AW285" i="35"/>
  <c r="BH285" i="35" s="1"/>
  <c r="AV285" i="35"/>
  <c r="BG285" i="35" s="1"/>
  <c r="AU285" i="35"/>
  <c r="BF285" i="35" s="1"/>
  <c r="AT285" i="35"/>
  <c r="BE285" i="35" s="1"/>
  <c r="AS285" i="35"/>
  <c r="BD285" i="35" s="1"/>
  <c r="AR285" i="35"/>
  <c r="BC285" i="35" s="1"/>
  <c r="AQ285" i="35"/>
  <c r="BB285" i="35" s="1"/>
  <c r="AP285" i="35"/>
  <c r="BA285" i="35" s="1"/>
  <c r="AO285" i="35"/>
  <c r="AZ285" i="35" s="1"/>
  <c r="AL285" i="35"/>
  <c r="AK285" i="35"/>
  <c r="AJ285" i="35"/>
  <c r="AI285" i="35"/>
  <c r="AH285" i="35"/>
  <c r="AG285" i="35"/>
  <c r="AF285" i="35"/>
  <c r="AE285" i="35"/>
  <c r="AD285" i="35"/>
  <c r="AW284" i="35"/>
  <c r="BH284" i="35" s="1"/>
  <c r="AV284" i="35"/>
  <c r="BG284" i="35" s="1"/>
  <c r="AU284" i="35"/>
  <c r="BF284" i="35" s="1"/>
  <c r="AT284" i="35"/>
  <c r="BE284" i="35" s="1"/>
  <c r="AS284" i="35"/>
  <c r="BD284" i="35" s="1"/>
  <c r="AR284" i="35"/>
  <c r="BC284" i="35" s="1"/>
  <c r="AQ284" i="35"/>
  <c r="BB284" i="35" s="1"/>
  <c r="AP284" i="35"/>
  <c r="BA284" i="35" s="1"/>
  <c r="AO284" i="35"/>
  <c r="AZ284" i="35" s="1"/>
  <c r="AL284" i="35"/>
  <c r="AK284" i="35"/>
  <c r="AJ284" i="35"/>
  <c r="AI284" i="35"/>
  <c r="AH284" i="35"/>
  <c r="AG284" i="35"/>
  <c r="AF284" i="35"/>
  <c r="AE284" i="35"/>
  <c r="AD284" i="35"/>
  <c r="AW283" i="35"/>
  <c r="BH283" i="35" s="1"/>
  <c r="AV283" i="35"/>
  <c r="BG283" i="35" s="1"/>
  <c r="AU283" i="35"/>
  <c r="BF283" i="35" s="1"/>
  <c r="AT283" i="35"/>
  <c r="BE283" i="35" s="1"/>
  <c r="AS283" i="35"/>
  <c r="BD283" i="35" s="1"/>
  <c r="AR283" i="35"/>
  <c r="BC283" i="35" s="1"/>
  <c r="AQ283" i="35"/>
  <c r="BB283" i="35" s="1"/>
  <c r="AP283" i="35"/>
  <c r="BA283" i="35" s="1"/>
  <c r="AO283" i="35"/>
  <c r="AZ283" i="35" s="1"/>
  <c r="AL283" i="35"/>
  <c r="AK283" i="35"/>
  <c r="AJ283" i="35"/>
  <c r="AI283" i="35"/>
  <c r="AH283" i="35"/>
  <c r="AG283" i="35"/>
  <c r="AF283" i="35"/>
  <c r="AE283" i="35"/>
  <c r="AD283" i="35"/>
  <c r="AW282" i="35"/>
  <c r="BH282" i="35" s="1"/>
  <c r="AV282" i="35"/>
  <c r="BG282" i="35" s="1"/>
  <c r="AU282" i="35"/>
  <c r="BF282" i="35" s="1"/>
  <c r="AT282" i="35"/>
  <c r="BE282" i="35" s="1"/>
  <c r="AS282" i="35"/>
  <c r="BD282" i="35" s="1"/>
  <c r="AR282" i="35"/>
  <c r="BC282" i="35" s="1"/>
  <c r="AQ282" i="35"/>
  <c r="BB282" i="35" s="1"/>
  <c r="AP282" i="35"/>
  <c r="BA282" i="35" s="1"/>
  <c r="AO282" i="35"/>
  <c r="AZ282" i="35" s="1"/>
  <c r="AL282" i="35"/>
  <c r="AK282" i="35"/>
  <c r="AJ282" i="35"/>
  <c r="AI282" i="35"/>
  <c r="AH282" i="35"/>
  <c r="AG282" i="35"/>
  <c r="AF282" i="35"/>
  <c r="AE282" i="35"/>
  <c r="AD282" i="35"/>
  <c r="AW281" i="35"/>
  <c r="BH281" i="35" s="1"/>
  <c r="AV281" i="35"/>
  <c r="BG281" i="35" s="1"/>
  <c r="AU281" i="35"/>
  <c r="BF281" i="35" s="1"/>
  <c r="AT281" i="35"/>
  <c r="BE281" i="35" s="1"/>
  <c r="AS281" i="35"/>
  <c r="BD281" i="35" s="1"/>
  <c r="AR281" i="35"/>
  <c r="BC281" i="35" s="1"/>
  <c r="AQ281" i="35"/>
  <c r="BB281" i="35" s="1"/>
  <c r="AP281" i="35"/>
  <c r="BA281" i="35" s="1"/>
  <c r="AO281" i="35"/>
  <c r="AZ281" i="35" s="1"/>
  <c r="AL281" i="35"/>
  <c r="AK281" i="35"/>
  <c r="AJ281" i="35"/>
  <c r="AI281" i="35"/>
  <c r="AH281" i="35"/>
  <c r="AG281" i="35"/>
  <c r="AF281" i="35"/>
  <c r="AE281" i="35"/>
  <c r="AD281" i="35"/>
  <c r="AW279" i="35"/>
  <c r="BH279" i="35" s="1"/>
  <c r="AV279" i="35"/>
  <c r="BG279" i="35" s="1"/>
  <c r="AU279" i="35"/>
  <c r="BF279" i="35" s="1"/>
  <c r="AT279" i="35"/>
  <c r="BE279" i="35" s="1"/>
  <c r="AS279" i="35"/>
  <c r="BD279" i="35" s="1"/>
  <c r="AR279" i="35"/>
  <c r="BC279" i="35" s="1"/>
  <c r="AQ279" i="35"/>
  <c r="BB279" i="35" s="1"/>
  <c r="AP279" i="35"/>
  <c r="BA279" i="35" s="1"/>
  <c r="AO279" i="35"/>
  <c r="AZ279" i="35" s="1"/>
  <c r="AL279" i="35"/>
  <c r="AK279" i="35"/>
  <c r="AJ279" i="35"/>
  <c r="AI279" i="35"/>
  <c r="AH279" i="35"/>
  <c r="AG279" i="35"/>
  <c r="AF279" i="35"/>
  <c r="AE279" i="35"/>
  <c r="AD279" i="35"/>
  <c r="AW278" i="35"/>
  <c r="BH278" i="35" s="1"/>
  <c r="AV278" i="35"/>
  <c r="BG278" i="35" s="1"/>
  <c r="AU278" i="35"/>
  <c r="BF278" i="35" s="1"/>
  <c r="AT278" i="35"/>
  <c r="BE278" i="35" s="1"/>
  <c r="AS278" i="35"/>
  <c r="BD278" i="35" s="1"/>
  <c r="AR278" i="35"/>
  <c r="BC278" i="35" s="1"/>
  <c r="AQ278" i="35"/>
  <c r="BB278" i="35" s="1"/>
  <c r="AP278" i="35"/>
  <c r="BA278" i="35" s="1"/>
  <c r="AO278" i="35"/>
  <c r="AZ278" i="35" s="1"/>
  <c r="AL278" i="35"/>
  <c r="AK278" i="35"/>
  <c r="AJ278" i="35"/>
  <c r="AI278" i="35"/>
  <c r="AH278" i="35"/>
  <c r="AG278" i="35"/>
  <c r="AF278" i="35"/>
  <c r="AE278" i="35"/>
  <c r="AD278" i="35"/>
  <c r="AW277" i="35"/>
  <c r="BH277" i="35" s="1"/>
  <c r="AV277" i="35"/>
  <c r="BG277" i="35" s="1"/>
  <c r="AU277" i="35"/>
  <c r="BF277" i="35" s="1"/>
  <c r="AT277" i="35"/>
  <c r="BE277" i="35" s="1"/>
  <c r="AS277" i="35"/>
  <c r="BD277" i="35" s="1"/>
  <c r="AR277" i="35"/>
  <c r="BC277" i="35" s="1"/>
  <c r="AQ277" i="35"/>
  <c r="BB277" i="35" s="1"/>
  <c r="AP277" i="35"/>
  <c r="BA277" i="35" s="1"/>
  <c r="AO277" i="35"/>
  <c r="AZ277" i="35" s="1"/>
  <c r="AL277" i="35"/>
  <c r="AK277" i="35"/>
  <c r="AJ277" i="35"/>
  <c r="AI277" i="35"/>
  <c r="AH277" i="35"/>
  <c r="AG277" i="35"/>
  <c r="AF277" i="35"/>
  <c r="AE277" i="35"/>
  <c r="AD277" i="35"/>
  <c r="AW276" i="35"/>
  <c r="BH276" i="35" s="1"/>
  <c r="AV276" i="35"/>
  <c r="BG276" i="35" s="1"/>
  <c r="AU276" i="35"/>
  <c r="BF276" i="35" s="1"/>
  <c r="AT276" i="35"/>
  <c r="BE276" i="35" s="1"/>
  <c r="AS276" i="35"/>
  <c r="BD276" i="35" s="1"/>
  <c r="AR276" i="35"/>
  <c r="BC276" i="35" s="1"/>
  <c r="AQ276" i="35"/>
  <c r="BB276" i="35" s="1"/>
  <c r="AP276" i="35"/>
  <c r="BA276" i="35" s="1"/>
  <c r="AO276" i="35"/>
  <c r="AZ276" i="35" s="1"/>
  <c r="AL276" i="35"/>
  <c r="AK276" i="35"/>
  <c r="AJ276" i="35"/>
  <c r="AI276" i="35"/>
  <c r="AH276" i="35"/>
  <c r="AG276" i="35"/>
  <c r="AF276" i="35"/>
  <c r="AE276" i="35"/>
  <c r="AD276" i="35"/>
  <c r="AW275" i="35"/>
  <c r="BH275" i="35" s="1"/>
  <c r="AV275" i="35"/>
  <c r="BG275" i="35" s="1"/>
  <c r="AU275" i="35"/>
  <c r="BF275" i="35" s="1"/>
  <c r="AT275" i="35"/>
  <c r="BE275" i="35" s="1"/>
  <c r="AS275" i="35"/>
  <c r="BD275" i="35" s="1"/>
  <c r="AR275" i="35"/>
  <c r="BC275" i="35" s="1"/>
  <c r="AQ275" i="35"/>
  <c r="BB275" i="35" s="1"/>
  <c r="AP275" i="35"/>
  <c r="BA275" i="35" s="1"/>
  <c r="AO275" i="35"/>
  <c r="AZ275" i="35" s="1"/>
  <c r="AL275" i="35"/>
  <c r="AK275" i="35"/>
  <c r="AJ275" i="35"/>
  <c r="AI275" i="35"/>
  <c r="AH275" i="35"/>
  <c r="AG275" i="35"/>
  <c r="AF275" i="35"/>
  <c r="AE275" i="35"/>
  <c r="AD275" i="35"/>
  <c r="AW274" i="35"/>
  <c r="BH274" i="35" s="1"/>
  <c r="AV274" i="35"/>
  <c r="BG274" i="35" s="1"/>
  <c r="AU274" i="35"/>
  <c r="BF274" i="35" s="1"/>
  <c r="AT274" i="35"/>
  <c r="BE274" i="35" s="1"/>
  <c r="AS274" i="35"/>
  <c r="BD274" i="35" s="1"/>
  <c r="AR274" i="35"/>
  <c r="BC274" i="35" s="1"/>
  <c r="AQ274" i="35"/>
  <c r="BB274" i="35" s="1"/>
  <c r="AP274" i="35"/>
  <c r="BA274" i="35" s="1"/>
  <c r="AO274" i="35"/>
  <c r="AZ274" i="35" s="1"/>
  <c r="AL274" i="35"/>
  <c r="AK274" i="35"/>
  <c r="AJ274" i="35"/>
  <c r="AI274" i="35"/>
  <c r="AH274" i="35"/>
  <c r="AG274" i="35"/>
  <c r="AF274" i="35"/>
  <c r="AE274" i="35"/>
  <c r="AD274" i="35"/>
  <c r="BH273" i="35"/>
  <c r="AW273" i="35"/>
  <c r="AV273" i="35"/>
  <c r="BG273" i="35" s="1"/>
  <c r="AU273" i="35"/>
  <c r="BF273" i="35" s="1"/>
  <c r="AT273" i="35"/>
  <c r="BE273" i="35" s="1"/>
  <c r="AS273" i="35"/>
  <c r="BD273" i="35" s="1"/>
  <c r="AR273" i="35"/>
  <c r="BC273" i="35" s="1"/>
  <c r="AQ273" i="35"/>
  <c r="BB273" i="35" s="1"/>
  <c r="AP273" i="35"/>
  <c r="BA273" i="35" s="1"/>
  <c r="AO273" i="35"/>
  <c r="AZ273" i="35" s="1"/>
  <c r="AL273" i="35"/>
  <c r="AK273" i="35"/>
  <c r="AJ273" i="35"/>
  <c r="AI273" i="35"/>
  <c r="AH273" i="35"/>
  <c r="AG273" i="35"/>
  <c r="AF273" i="35"/>
  <c r="AE273" i="35"/>
  <c r="AD273" i="35"/>
  <c r="AW272" i="35"/>
  <c r="BH272" i="35" s="1"/>
  <c r="AV272" i="35"/>
  <c r="BG272" i="35" s="1"/>
  <c r="AU272" i="35"/>
  <c r="BF272" i="35" s="1"/>
  <c r="AT272" i="35"/>
  <c r="BE272" i="35" s="1"/>
  <c r="AS272" i="35"/>
  <c r="BD272" i="35" s="1"/>
  <c r="AR272" i="35"/>
  <c r="BC272" i="35" s="1"/>
  <c r="AQ272" i="35"/>
  <c r="BB272" i="35" s="1"/>
  <c r="AP272" i="35"/>
  <c r="BA272" i="35" s="1"/>
  <c r="AO272" i="35"/>
  <c r="AZ272" i="35" s="1"/>
  <c r="AL272" i="35"/>
  <c r="AK272" i="35"/>
  <c r="AJ272" i="35"/>
  <c r="AI272" i="35"/>
  <c r="AH272" i="35"/>
  <c r="AG272" i="35"/>
  <c r="AF272" i="35"/>
  <c r="AE272" i="35"/>
  <c r="AD272" i="35"/>
  <c r="AW271" i="35"/>
  <c r="BH271" i="35" s="1"/>
  <c r="AV271" i="35"/>
  <c r="BG271" i="35" s="1"/>
  <c r="AU271" i="35"/>
  <c r="BF271" i="35" s="1"/>
  <c r="AT271" i="35"/>
  <c r="BE271" i="35" s="1"/>
  <c r="AS271" i="35"/>
  <c r="BD271" i="35" s="1"/>
  <c r="AR271" i="35"/>
  <c r="BC271" i="35" s="1"/>
  <c r="AQ271" i="35"/>
  <c r="BB271" i="35" s="1"/>
  <c r="AP271" i="35"/>
  <c r="BA271" i="35" s="1"/>
  <c r="AO271" i="35"/>
  <c r="AZ271" i="35" s="1"/>
  <c r="AL271" i="35"/>
  <c r="AK271" i="35"/>
  <c r="AJ271" i="35"/>
  <c r="AI271" i="35"/>
  <c r="AH271" i="35"/>
  <c r="AG271" i="35"/>
  <c r="AF271" i="35"/>
  <c r="AE271" i="35"/>
  <c r="AD271" i="35"/>
  <c r="AW270" i="35"/>
  <c r="BH270" i="35" s="1"/>
  <c r="AV270" i="35"/>
  <c r="BG270" i="35" s="1"/>
  <c r="AU270" i="35"/>
  <c r="BF270" i="35" s="1"/>
  <c r="AT270" i="35"/>
  <c r="BE270" i="35" s="1"/>
  <c r="AS270" i="35"/>
  <c r="BD270" i="35" s="1"/>
  <c r="AR270" i="35"/>
  <c r="BC270" i="35" s="1"/>
  <c r="AQ270" i="35"/>
  <c r="BB270" i="35" s="1"/>
  <c r="AP270" i="35"/>
  <c r="BA270" i="35" s="1"/>
  <c r="AO270" i="35"/>
  <c r="AZ270" i="35" s="1"/>
  <c r="AL270" i="35"/>
  <c r="AK270" i="35"/>
  <c r="AJ270" i="35"/>
  <c r="AI270" i="35"/>
  <c r="AH270" i="35"/>
  <c r="AG270" i="35"/>
  <c r="AF270" i="35"/>
  <c r="AE270" i="35"/>
  <c r="AD270" i="35"/>
  <c r="AW269" i="35"/>
  <c r="BH269" i="35" s="1"/>
  <c r="AV269" i="35"/>
  <c r="BG269" i="35" s="1"/>
  <c r="AU269" i="35"/>
  <c r="BF269" i="35" s="1"/>
  <c r="AT269" i="35"/>
  <c r="BE269" i="35" s="1"/>
  <c r="AS269" i="35"/>
  <c r="BD269" i="35" s="1"/>
  <c r="AR269" i="35"/>
  <c r="BC269" i="35" s="1"/>
  <c r="AQ269" i="35"/>
  <c r="BB269" i="35" s="1"/>
  <c r="AP269" i="35"/>
  <c r="BA269" i="35" s="1"/>
  <c r="AO269" i="35"/>
  <c r="AZ269" i="35" s="1"/>
  <c r="AL269" i="35"/>
  <c r="AK269" i="35"/>
  <c r="AJ269" i="35"/>
  <c r="AI269" i="35"/>
  <c r="AH269" i="35"/>
  <c r="AG269" i="35"/>
  <c r="AF269" i="35"/>
  <c r="AE269" i="35"/>
  <c r="AD269" i="35"/>
  <c r="AW268" i="35"/>
  <c r="BH268" i="35" s="1"/>
  <c r="AV268" i="35"/>
  <c r="BG268" i="35" s="1"/>
  <c r="AU268" i="35"/>
  <c r="BF268" i="35" s="1"/>
  <c r="AT268" i="35"/>
  <c r="BE268" i="35" s="1"/>
  <c r="AS268" i="35"/>
  <c r="BD268" i="35" s="1"/>
  <c r="AR268" i="35"/>
  <c r="BC268" i="35" s="1"/>
  <c r="AQ268" i="35"/>
  <c r="BB268" i="35" s="1"/>
  <c r="AP268" i="35"/>
  <c r="BA268" i="35" s="1"/>
  <c r="AO268" i="35"/>
  <c r="AZ268" i="35" s="1"/>
  <c r="AL268" i="35"/>
  <c r="AK268" i="35"/>
  <c r="AJ268" i="35"/>
  <c r="AI268" i="35"/>
  <c r="AH268" i="35"/>
  <c r="AG268" i="35"/>
  <c r="AF268" i="35"/>
  <c r="AE268" i="35"/>
  <c r="AD268" i="35"/>
  <c r="AW267" i="35"/>
  <c r="BH267" i="35" s="1"/>
  <c r="AV267" i="35"/>
  <c r="BG267" i="35" s="1"/>
  <c r="AU267" i="35"/>
  <c r="BF267" i="35" s="1"/>
  <c r="AT267" i="35"/>
  <c r="BE267" i="35" s="1"/>
  <c r="AS267" i="35"/>
  <c r="BD267" i="35" s="1"/>
  <c r="AR267" i="35"/>
  <c r="BC267" i="35" s="1"/>
  <c r="AQ267" i="35"/>
  <c r="BB267" i="35" s="1"/>
  <c r="AP267" i="35"/>
  <c r="BA267" i="35" s="1"/>
  <c r="AO267" i="35"/>
  <c r="AZ267" i="35" s="1"/>
  <c r="AL267" i="35"/>
  <c r="AK267" i="35"/>
  <c r="AJ267" i="35"/>
  <c r="AI267" i="35"/>
  <c r="AH267" i="35"/>
  <c r="AG267" i="35"/>
  <c r="AF267" i="35"/>
  <c r="AE267" i="35"/>
  <c r="AD267" i="35"/>
  <c r="AW266" i="35"/>
  <c r="BH266" i="35" s="1"/>
  <c r="AV266" i="35"/>
  <c r="BG266" i="35" s="1"/>
  <c r="AU266" i="35"/>
  <c r="BF266" i="35" s="1"/>
  <c r="AT266" i="35"/>
  <c r="BE266" i="35" s="1"/>
  <c r="AS266" i="35"/>
  <c r="BD266" i="35" s="1"/>
  <c r="AR266" i="35"/>
  <c r="BC266" i="35" s="1"/>
  <c r="AQ266" i="35"/>
  <c r="BB266" i="35" s="1"/>
  <c r="AP266" i="35"/>
  <c r="BA266" i="35" s="1"/>
  <c r="AO266" i="35"/>
  <c r="AZ266" i="35" s="1"/>
  <c r="AL266" i="35"/>
  <c r="AK266" i="35"/>
  <c r="AJ266" i="35"/>
  <c r="AI266" i="35"/>
  <c r="AH266" i="35"/>
  <c r="AG266" i="35"/>
  <c r="AF266" i="35"/>
  <c r="AE266" i="35"/>
  <c r="AD266" i="35"/>
  <c r="AW265" i="35"/>
  <c r="BH265" i="35" s="1"/>
  <c r="AV265" i="35"/>
  <c r="BG265" i="35" s="1"/>
  <c r="AU265" i="35"/>
  <c r="BF265" i="35" s="1"/>
  <c r="AT265" i="35"/>
  <c r="BE265" i="35" s="1"/>
  <c r="AS265" i="35"/>
  <c r="BD265" i="35" s="1"/>
  <c r="AR265" i="35"/>
  <c r="BC265" i="35" s="1"/>
  <c r="AQ265" i="35"/>
  <c r="BB265" i="35" s="1"/>
  <c r="AP265" i="35"/>
  <c r="BA265" i="35" s="1"/>
  <c r="AO265" i="35"/>
  <c r="AZ265" i="35" s="1"/>
  <c r="AL265" i="35"/>
  <c r="AK265" i="35"/>
  <c r="AJ265" i="35"/>
  <c r="AI265" i="35"/>
  <c r="AH265" i="35"/>
  <c r="AG265" i="35"/>
  <c r="AF265" i="35"/>
  <c r="AE265" i="35"/>
  <c r="AD265" i="35"/>
  <c r="AW264" i="35"/>
  <c r="BH264" i="35" s="1"/>
  <c r="AV264" i="35"/>
  <c r="BG264" i="35" s="1"/>
  <c r="AU264" i="35"/>
  <c r="BF264" i="35" s="1"/>
  <c r="AT264" i="35"/>
  <c r="BE264" i="35" s="1"/>
  <c r="AS264" i="35"/>
  <c r="BD264" i="35" s="1"/>
  <c r="AR264" i="35"/>
  <c r="BC264" i="35" s="1"/>
  <c r="AQ264" i="35"/>
  <c r="BB264" i="35" s="1"/>
  <c r="AP264" i="35"/>
  <c r="BA264" i="35" s="1"/>
  <c r="AO264" i="35"/>
  <c r="AZ264" i="35" s="1"/>
  <c r="AL264" i="35"/>
  <c r="AK264" i="35"/>
  <c r="AJ264" i="35"/>
  <c r="AI264" i="35"/>
  <c r="AH264" i="35"/>
  <c r="AG264" i="35"/>
  <c r="AF264" i="35"/>
  <c r="AE264" i="35"/>
  <c r="AD264" i="35"/>
  <c r="AW263" i="35"/>
  <c r="BH263" i="35" s="1"/>
  <c r="AV263" i="35"/>
  <c r="BG263" i="35" s="1"/>
  <c r="AU263" i="35"/>
  <c r="BF263" i="35" s="1"/>
  <c r="AT263" i="35"/>
  <c r="BE263" i="35" s="1"/>
  <c r="AS263" i="35"/>
  <c r="BD263" i="35" s="1"/>
  <c r="AR263" i="35"/>
  <c r="BC263" i="35" s="1"/>
  <c r="AQ263" i="35"/>
  <c r="BB263" i="35" s="1"/>
  <c r="AP263" i="35"/>
  <c r="BA263" i="35" s="1"/>
  <c r="AO263" i="35"/>
  <c r="AZ263" i="35" s="1"/>
  <c r="AL263" i="35"/>
  <c r="AK263" i="35"/>
  <c r="AJ263" i="35"/>
  <c r="AI263" i="35"/>
  <c r="AH263" i="35"/>
  <c r="AG263" i="35"/>
  <c r="AF263" i="35"/>
  <c r="AE263" i="35"/>
  <c r="AD263" i="35"/>
  <c r="AZ262" i="35"/>
  <c r="AW262" i="35"/>
  <c r="BH262" i="35" s="1"/>
  <c r="AV262" i="35"/>
  <c r="BG262" i="35" s="1"/>
  <c r="AU262" i="35"/>
  <c r="BF262" i="35" s="1"/>
  <c r="AT262" i="35"/>
  <c r="BE262" i="35" s="1"/>
  <c r="AS262" i="35"/>
  <c r="BD262" i="35" s="1"/>
  <c r="AR262" i="35"/>
  <c r="BC262" i="35" s="1"/>
  <c r="AQ262" i="35"/>
  <c r="BB262" i="35" s="1"/>
  <c r="AP262" i="35"/>
  <c r="BA262" i="35" s="1"/>
  <c r="AO262" i="35"/>
  <c r="AL262" i="35"/>
  <c r="AK262" i="35"/>
  <c r="AJ262" i="35"/>
  <c r="AI262" i="35"/>
  <c r="AH262" i="35"/>
  <c r="AG262" i="35"/>
  <c r="AF262" i="35"/>
  <c r="AE262" i="35"/>
  <c r="AD262" i="35"/>
  <c r="AW261" i="35"/>
  <c r="BH261" i="35" s="1"/>
  <c r="AV261" i="35"/>
  <c r="BG261" i="35" s="1"/>
  <c r="AU261" i="35"/>
  <c r="BF261" i="35" s="1"/>
  <c r="AT261" i="35"/>
  <c r="BE261" i="35" s="1"/>
  <c r="AS261" i="35"/>
  <c r="BD261" i="35" s="1"/>
  <c r="AR261" i="35"/>
  <c r="BC261" i="35" s="1"/>
  <c r="AQ261" i="35"/>
  <c r="BB261" i="35" s="1"/>
  <c r="AP261" i="35"/>
  <c r="BA261" i="35" s="1"/>
  <c r="AO261" i="35"/>
  <c r="AZ261" i="35" s="1"/>
  <c r="AL261" i="35"/>
  <c r="AK261" i="35"/>
  <c r="AJ261" i="35"/>
  <c r="AI261" i="35"/>
  <c r="AH261" i="35"/>
  <c r="AG261" i="35"/>
  <c r="AF261" i="35"/>
  <c r="AE261" i="35"/>
  <c r="AD261" i="35"/>
  <c r="BF260" i="35"/>
  <c r="AW260" i="35"/>
  <c r="BH260" i="35" s="1"/>
  <c r="AV260" i="35"/>
  <c r="BG260" i="35" s="1"/>
  <c r="AU260" i="35"/>
  <c r="AT260" i="35"/>
  <c r="BE260" i="35" s="1"/>
  <c r="AS260" i="35"/>
  <c r="BD260" i="35" s="1"/>
  <c r="AR260" i="35"/>
  <c r="BC260" i="35" s="1"/>
  <c r="AQ260" i="35"/>
  <c r="BB260" i="35" s="1"/>
  <c r="AP260" i="35"/>
  <c r="BA260" i="35" s="1"/>
  <c r="AO260" i="35"/>
  <c r="AZ260" i="35" s="1"/>
  <c r="AL260" i="35"/>
  <c r="AK260" i="35"/>
  <c r="AJ260" i="35"/>
  <c r="AI260" i="35"/>
  <c r="AH260" i="35"/>
  <c r="AG260" i="35"/>
  <c r="AF260" i="35"/>
  <c r="AE260" i="35"/>
  <c r="AD260" i="35"/>
  <c r="AW259" i="35"/>
  <c r="BH259" i="35" s="1"/>
  <c r="AV259" i="35"/>
  <c r="BG259" i="35" s="1"/>
  <c r="AU259" i="35"/>
  <c r="BF259" i="35" s="1"/>
  <c r="AT259" i="35"/>
  <c r="BE259" i="35" s="1"/>
  <c r="AS259" i="35"/>
  <c r="BD259" i="35" s="1"/>
  <c r="AR259" i="35"/>
  <c r="BC259" i="35" s="1"/>
  <c r="AQ259" i="35"/>
  <c r="BB259" i="35" s="1"/>
  <c r="AP259" i="35"/>
  <c r="BA259" i="35" s="1"/>
  <c r="AO259" i="35"/>
  <c r="AZ259" i="35" s="1"/>
  <c r="AL259" i="35"/>
  <c r="AK259" i="35"/>
  <c r="AJ259" i="35"/>
  <c r="AI259" i="35"/>
  <c r="AH259" i="35"/>
  <c r="AG259" i="35"/>
  <c r="AF259" i="35"/>
  <c r="AE259" i="35"/>
  <c r="AD259" i="35"/>
  <c r="AW258" i="35"/>
  <c r="BH258" i="35" s="1"/>
  <c r="AV258" i="35"/>
  <c r="BG258" i="35" s="1"/>
  <c r="AU258" i="35"/>
  <c r="BF258" i="35" s="1"/>
  <c r="AT258" i="35"/>
  <c r="BE258" i="35" s="1"/>
  <c r="AS258" i="35"/>
  <c r="BD258" i="35" s="1"/>
  <c r="AR258" i="35"/>
  <c r="BC258" i="35" s="1"/>
  <c r="AQ258" i="35"/>
  <c r="BB258" i="35" s="1"/>
  <c r="AP258" i="35"/>
  <c r="BA258" i="35" s="1"/>
  <c r="AO258" i="35"/>
  <c r="AZ258" i="35" s="1"/>
  <c r="AL258" i="35"/>
  <c r="AK258" i="35"/>
  <c r="AJ258" i="35"/>
  <c r="AI258" i="35"/>
  <c r="AH258" i="35"/>
  <c r="AG258" i="35"/>
  <c r="AF258" i="35"/>
  <c r="AE258" i="35"/>
  <c r="AD258" i="35"/>
  <c r="AW257" i="35"/>
  <c r="BH257" i="35" s="1"/>
  <c r="AV257" i="35"/>
  <c r="BG257" i="35" s="1"/>
  <c r="AU257" i="35"/>
  <c r="BF257" i="35" s="1"/>
  <c r="AT257" i="35"/>
  <c r="BE257" i="35" s="1"/>
  <c r="AS257" i="35"/>
  <c r="BD257" i="35" s="1"/>
  <c r="AR257" i="35"/>
  <c r="BC257" i="35" s="1"/>
  <c r="AQ257" i="35"/>
  <c r="BB257" i="35" s="1"/>
  <c r="AP257" i="35"/>
  <c r="BA257" i="35" s="1"/>
  <c r="AO257" i="35"/>
  <c r="AZ257" i="35" s="1"/>
  <c r="AL257" i="35"/>
  <c r="AK257" i="35"/>
  <c r="AJ257" i="35"/>
  <c r="AI257" i="35"/>
  <c r="AH257" i="35"/>
  <c r="AG257" i="35"/>
  <c r="AF257" i="35"/>
  <c r="AE257" i="35"/>
  <c r="AD257" i="35"/>
  <c r="AW256" i="35"/>
  <c r="BH256" i="35" s="1"/>
  <c r="AV256" i="35"/>
  <c r="BG256" i="35" s="1"/>
  <c r="AU256" i="35"/>
  <c r="BF256" i="35" s="1"/>
  <c r="AT256" i="35"/>
  <c r="BE256" i="35" s="1"/>
  <c r="AS256" i="35"/>
  <c r="BD256" i="35" s="1"/>
  <c r="AR256" i="35"/>
  <c r="BC256" i="35" s="1"/>
  <c r="AQ256" i="35"/>
  <c r="BB256" i="35" s="1"/>
  <c r="AP256" i="35"/>
  <c r="BA256" i="35" s="1"/>
  <c r="AO256" i="35"/>
  <c r="AZ256" i="35" s="1"/>
  <c r="AL256" i="35"/>
  <c r="AK256" i="35"/>
  <c r="AJ256" i="35"/>
  <c r="AI256" i="35"/>
  <c r="AH256" i="35"/>
  <c r="AG256" i="35"/>
  <c r="AF256" i="35"/>
  <c r="AE256" i="35"/>
  <c r="AD256" i="35"/>
  <c r="AW255" i="35"/>
  <c r="BH255" i="35" s="1"/>
  <c r="AV255" i="35"/>
  <c r="BG255" i="35" s="1"/>
  <c r="AU255" i="35"/>
  <c r="BF255" i="35" s="1"/>
  <c r="AT255" i="35"/>
  <c r="BE255" i="35" s="1"/>
  <c r="AS255" i="35"/>
  <c r="BD255" i="35" s="1"/>
  <c r="AR255" i="35"/>
  <c r="BC255" i="35" s="1"/>
  <c r="AQ255" i="35"/>
  <c r="BB255" i="35" s="1"/>
  <c r="AP255" i="35"/>
  <c r="BA255" i="35" s="1"/>
  <c r="AO255" i="35"/>
  <c r="AZ255" i="35" s="1"/>
  <c r="AL255" i="35"/>
  <c r="AK255" i="35"/>
  <c r="AJ255" i="35"/>
  <c r="AI255" i="35"/>
  <c r="AH255" i="35"/>
  <c r="AG255" i="35"/>
  <c r="AF255" i="35"/>
  <c r="AE255" i="35"/>
  <c r="AD255" i="35"/>
  <c r="AW254" i="35"/>
  <c r="BH254" i="35" s="1"/>
  <c r="AV254" i="35"/>
  <c r="BG254" i="35" s="1"/>
  <c r="AU254" i="35"/>
  <c r="BF254" i="35" s="1"/>
  <c r="AT254" i="35"/>
  <c r="BE254" i="35" s="1"/>
  <c r="AS254" i="35"/>
  <c r="BD254" i="35" s="1"/>
  <c r="AR254" i="35"/>
  <c r="BC254" i="35" s="1"/>
  <c r="AQ254" i="35"/>
  <c r="BB254" i="35" s="1"/>
  <c r="AP254" i="35"/>
  <c r="BA254" i="35" s="1"/>
  <c r="AO254" i="35"/>
  <c r="AZ254" i="35" s="1"/>
  <c r="AL254" i="35"/>
  <c r="AK254" i="35"/>
  <c r="AJ254" i="35"/>
  <c r="AI254" i="35"/>
  <c r="AH254" i="35"/>
  <c r="AG254" i="35"/>
  <c r="AF254" i="35"/>
  <c r="AE254" i="35"/>
  <c r="AD254" i="35"/>
  <c r="AW253" i="35"/>
  <c r="BH253" i="35" s="1"/>
  <c r="AV253" i="35"/>
  <c r="BG253" i="35" s="1"/>
  <c r="AU253" i="35"/>
  <c r="BF253" i="35" s="1"/>
  <c r="AT253" i="35"/>
  <c r="BE253" i="35" s="1"/>
  <c r="AS253" i="35"/>
  <c r="BD253" i="35" s="1"/>
  <c r="AR253" i="35"/>
  <c r="BC253" i="35" s="1"/>
  <c r="AQ253" i="35"/>
  <c r="BB253" i="35" s="1"/>
  <c r="AP253" i="35"/>
  <c r="BA253" i="35" s="1"/>
  <c r="AO253" i="35"/>
  <c r="AZ253" i="35" s="1"/>
  <c r="AL253" i="35"/>
  <c r="AK253" i="35"/>
  <c r="AJ253" i="35"/>
  <c r="AI253" i="35"/>
  <c r="AH253" i="35"/>
  <c r="AG253" i="35"/>
  <c r="AF253" i="35"/>
  <c r="AE253" i="35"/>
  <c r="AD253" i="35"/>
  <c r="AW252" i="35"/>
  <c r="BH252" i="35" s="1"/>
  <c r="AV252" i="35"/>
  <c r="BG252" i="35" s="1"/>
  <c r="AU252" i="35"/>
  <c r="BF252" i="35" s="1"/>
  <c r="AT252" i="35"/>
  <c r="BE252" i="35" s="1"/>
  <c r="AS252" i="35"/>
  <c r="BD252" i="35" s="1"/>
  <c r="AR252" i="35"/>
  <c r="BC252" i="35" s="1"/>
  <c r="AQ252" i="35"/>
  <c r="BB252" i="35" s="1"/>
  <c r="AP252" i="35"/>
  <c r="BA252" i="35" s="1"/>
  <c r="AO252" i="35"/>
  <c r="AZ252" i="35" s="1"/>
  <c r="AL252" i="35"/>
  <c r="AK252" i="35"/>
  <c r="AJ252" i="35"/>
  <c r="AI252" i="35"/>
  <c r="AH252" i="35"/>
  <c r="AG252" i="35"/>
  <c r="AF252" i="35"/>
  <c r="AE252" i="35"/>
  <c r="AD252" i="35"/>
  <c r="AW251" i="35"/>
  <c r="BH251" i="35" s="1"/>
  <c r="AV251" i="35"/>
  <c r="BG251" i="35" s="1"/>
  <c r="AU251" i="35"/>
  <c r="BF251" i="35" s="1"/>
  <c r="AT251" i="35"/>
  <c r="BE251" i="35" s="1"/>
  <c r="AS251" i="35"/>
  <c r="BD251" i="35" s="1"/>
  <c r="AR251" i="35"/>
  <c r="BC251" i="35" s="1"/>
  <c r="AQ251" i="35"/>
  <c r="BB251" i="35" s="1"/>
  <c r="AP251" i="35"/>
  <c r="BA251" i="35" s="1"/>
  <c r="AO251" i="35"/>
  <c r="AZ251" i="35" s="1"/>
  <c r="AL251" i="35"/>
  <c r="AK251" i="35"/>
  <c r="AJ251" i="35"/>
  <c r="AI251" i="35"/>
  <c r="AH251" i="35"/>
  <c r="AG251" i="35"/>
  <c r="AF251" i="35"/>
  <c r="AE251" i="35"/>
  <c r="AD251" i="35"/>
  <c r="AW250" i="35"/>
  <c r="BH250" i="35" s="1"/>
  <c r="AV250" i="35"/>
  <c r="BG250" i="35" s="1"/>
  <c r="AU250" i="35"/>
  <c r="BF250" i="35" s="1"/>
  <c r="AT250" i="35"/>
  <c r="BE250" i="35" s="1"/>
  <c r="AS250" i="35"/>
  <c r="BD250" i="35" s="1"/>
  <c r="AR250" i="35"/>
  <c r="BC250" i="35" s="1"/>
  <c r="AQ250" i="35"/>
  <c r="BB250" i="35" s="1"/>
  <c r="AP250" i="35"/>
  <c r="BA250" i="35" s="1"/>
  <c r="AO250" i="35"/>
  <c r="AZ250" i="35" s="1"/>
  <c r="AL250" i="35"/>
  <c r="AK250" i="35"/>
  <c r="AJ250" i="35"/>
  <c r="AI250" i="35"/>
  <c r="AH250" i="35"/>
  <c r="AG250" i="35"/>
  <c r="AF250" i="35"/>
  <c r="AE250" i="35"/>
  <c r="AD250" i="35"/>
  <c r="AW249" i="35"/>
  <c r="BH249" i="35" s="1"/>
  <c r="AV249" i="35"/>
  <c r="BG249" i="35" s="1"/>
  <c r="AU249" i="35"/>
  <c r="BF249" i="35" s="1"/>
  <c r="AT249" i="35"/>
  <c r="BE249" i="35" s="1"/>
  <c r="AS249" i="35"/>
  <c r="BD249" i="35" s="1"/>
  <c r="AR249" i="35"/>
  <c r="BC249" i="35" s="1"/>
  <c r="AQ249" i="35"/>
  <c r="BB249" i="35" s="1"/>
  <c r="AP249" i="35"/>
  <c r="BA249" i="35" s="1"/>
  <c r="AO249" i="35"/>
  <c r="AZ249" i="35" s="1"/>
  <c r="AL249" i="35"/>
  <c r="AK249" i="35"/>
  <c r="AJ249" i="35"/>
  <c r="AI249" i="35"/>
  <c r="AH249" i="35"/>
  <c r="AG249" i="35"/>
  <c r="AF249" i="35"/>
  <c r="AE249" i="35"/>
  <c r="AD249" i="35"/>
  <c r="AW248" i="35"/>
  <c r="BH248" i="35" s="1"/>
  <c r="AV248" i="35"/>
  <c r="BG248" i="35" s="1"/>
  <c r="AU248" i="35"/>
  <c r="BF248" i="35" s="1"/>
  <c r="AT248" i="35"/>
  <c r="BE248" i="35" s="1"/>
  <c r="AS248" i="35"/>
  <c r="BD248" i="35" s="1"/>
  <c r="AR248" i="35"/>
  <c r="BC248" i="35" s="1"/>
  <c r="AQ248" i="35"/>
  <c r="BB248" i="35" s="1"/>
  <c r="AP248" i="35"/>
  <c r="BA248" i="35" s="1"/>
  <c r="AO248" i="35"/>
  <c r="AZ248" i="35" s="1"/>
  <c r="AL248" i="35"/>
  <c r="AK248" i="35"/>
  <c r="AJ248" i="35"/>
  <c r="AI248" i="35"/>
  <c r="AH248" i="35"/>
  <c r="AG248" i="35"/>
  <c r="AF248" i="35"/>
  <c r="AE248" i="35"/>
  <c r="AD248" i="35"/>
  <c r="AW247" i="35"/>
  <c r="BH247" i="35" s="1"/>
  <c r="AV247" i="35"/>
  <c r="BG247" i="35" s="1"/>
  <c r="AU247" i="35"/>
  <c r="BF247" i="35" s="1"/>
  <c r="AT247" i="35"/>
  <c r="BE247" i="35" s="1"/>
  <c r="AS247" i="35"/>
  <c r="BD247" i="35" s="1"/>
  <c r="AR247" i="35"/>
  <c r="BC247" i="35" s="1"/>
  <c r="AQ247" i="35"/>
  <c r="BB247" i="35" s="1"/>
  <c r="AP247" i="35"/>
  <c r="BA247" i="35" s="1"/>
  <c r="AO247" i="35"/>
  <c r="AZ247" i="35" s="1"/>
  <c r="AL247" i="35"/>
  <c r="AK247" i="35"/>
  <c r="AJ247" i="35"/>
  <c r="AI247" i="35"/>
  <c r="AH247" i="35"/>
  <c r="AG247" i="35"/>
  <c r="AF247" i="35"/>
  <c r="AE247" i="35"/>
  <c r="AD247" i="35"/>
  <c r="BH246" i="35"/>
  <c r="AW246" i="35"/>
  <c r="AV246" i="35"/>
  <c r="BG246" i="35" s="1"/>
  <c r="AU246" i="35"/>
  <c r="BF246" i="35" s="1"/>
  <c r="AT246" i="35"/>
  <c r="BE246" i="35" s="1"/>
  <c r="AS246" i="35"/>
  <c r="BD246" i="35" s="1"/>
  <c r="AR246" i="35"/>
  <c r="BC246" i="35" s="1"/>
  <c r="AQ246" i="35"/>
  <c r="BB246" i="35" s="1"/>
  <c r="AP246" i="35"/>
  <c r="BA246" i="35" s="1"/>
  <c r="AO246" i="35"/>
  <c r="AZ246" i="35" s="1"/>
  <c r="AL246" i="35"/>
  <c r="AK246" i="35"/>
  <c r="AJ246" i="35"/>
  <c r="AI246" i="35"/>
  <c r="AH246" i="35"/>
  <c r="AG246" i="35"/>
  <c r="AF246" i="35"/>
  <c r="AE246" i="35"/>
  <c r="AD246" i="35"/>
  <c r="AW245" i="35"/>
  <c r="BH245" i="35" s="1"/>
  <c r="AV245" i="35"/>
  <c r="BG245" i="35" s="1"/>
  <c r="AU245" i="35"/>
  <c r="BF245" i="35" s="1"/>
  <c r="AT245" i="35"/>
  <c r="BE245" i="35" s="1"/>
  <c r="AS245" i="35"/>
  <c r="BD245" i="35" s="1"/>
  <c r="AR245" i="35"/>
  <c r="BC245" i="35" s="1"/>
  <c r="AQ245" i="35"/>
  <c r="BB245" i="35" s="1"/>
  <c r="AP245" i="35"/>
  <c r="BA245" i="35" s="1"/>
  <c r="AO245" i="35"/>
  <c r="AZ245" i="35" s="1"/>
  <c r="AL245" i="35"/>
  <c r="AK245" i="35"/>
  <c r="AJ245" i="35"/>
  <c r="AI245" i="35"/>
  <c r="AH245" i="35"/>
  <c r="AG245" i="35"/>
  <c r="AF245" i="35"/>
  <c r="AE245" i="35"/>
  <c r="AD245" i="35"/>
  <c r="AW244" i="35"/>
  <c r="BH244" i="35" s="1"/>
  <c r="AV244" i="35"/>
  <c r="BG244" i="35" s="1"/>
  <c r="AU244" i="35"/>
  <c r="BF244" i="35" s="1"/>
  <c r="AT244" i="35"/>
  <c r="BE244" i="35" s="1"/>
  <c r="AS244" i="35"/>
  <c r="BD244" i="35" s="1"/>
  <c r="AR244" i="35"/>
  <c r="BC244" i="35" s="1"/>
  <c r="AQ244" i="35"/>
  <c r="BB244" i="35" s="1"/>
  <c r="AP244" i="35"/>
  <c r="BA244" i="35" s="1"/>
  <c r="AO244" i="35"/>
  <c r="AZ244" i="35" s="1"/>
  <c r="AL244" i="35"/>
  <c r="AK244" i="35"/>
  <c r="AJ244" i="35"/>
  <c r="AI244" i="35"/>
  <c r="AH244" i="35"/>
  <c r="AG244" i="35"/>
  <c r="AF244" i="35"/>
  <c r="AE244" i="35"/>
  <c r="AD244" i="35"/>
  <c r="AW243" i="35"/>
  <c r="BH243" i="35" s="1"/>
  <c r="AV243" i="35"/>
  <c r="BG243" i="35" s="1"/>
  <c r="AU243" i="35"/>
  <c r="BF243" i="35" s="1"/>
  <c r="AT243" i="35"/>
  <c r="BE243" i="35" s="1"/>
  <c r="AS243" i="35"/>
  <c r="BD243" i="35" s="1"/>
  <c r="AR243" i="35"/>
  <c r="BC243" i="35" s="1"/>
  <c r="AQ243" i="35"/>
  <c r="BB243" i="35" s="1"/>
  <c r="AP243" i="35"/>
  <c r="BA243" i="35" s="1"/>
  <c r="AO243" i="35"/>
  <c r="AZ243" i="35" s="1"/>
  <c r="AL243" i="35"/>
  <c r="AK243" i="35"/>
  <c r="AJ243" i="35"/>
  <c r="AI243" i="35"/>
  <c r="AH243" i="35"/>
  <c r="AG243" i="35"/>
  <c r="AF243" i="35"/>
  <c r="AE243" i="35"/>
  <c r="AD243" i="35"/>
  <c r="AW242" i="35"/>
  <c r="BH242" i="35" s="1"/>
  <c r="AV242" i="35"/>
  <c r="BG242" i="35" s="1"/>
  <c r="AU242" i="35"/>
  <c r="BF242" i="35" s="1"/>
  <c r="AT242" i="35"/>
  <c r="BE242" i="35" s="1"/>
  <c r="AS242" i="35"/>
  <c r="BD242" i="35" s="1"/>
  <c r="AR242" i="35"/>
  <c r="BC242" i="35" s="1"/>
  <c r="AQ242" i="35"/>
  <c r="BB242" i="35" s="1"/>
  <c r="AP242" i="35"/>
  <c r="BA242" i="35" s="1"/>
  <c r="AO242" i="35"/>
  <c r="AZ242" i="35" s="1"/>
  <c r="AL242" i="35"/>
  <c r="AK242" i="35"/>
  <c r="AJ242" i="35"/>
  <c r="AI242" i="35"/>
  <c r="AH242" i="35"/>
  <c r="AG242" i="35"/>
  <c r="AF242" i="35"/>
  <c r="AE242" i="35"/>
  <c r="AD242" i="35"/>
  <c r="AW241" i="35"/>
  <c r="BH241" i="35" s="1"/>
  <c r="AV241" i="35"/>
  <c r="BG241" i="35" s="1"/>
  <c r="AU241" i="35"/>
  <c r="BF241" i="35" s="1"/>
  <c r="AT241" i="35"/>
  <c r="BE241" i="35" s="1"/>
  <c r="AS241" i="35"/>
  <c r="BD241" i="35" s="1"/>
  <c r="AR241" i="35"/>
  <c r="BC241" i="35" s="1"/>
  <c r="AQ241" i="35"/>
  <c r="BB241" i="35" s="1"/>
  <c r="AP241" i="35"/>
  <c r="BA241" i="35" s="1"/>
  <c r="AO241" i="35"/>
  <c r="AZ241" i="35" s="1"/>
  <c r="AL241" i="35"/>
  <c r="AK241" i="35"/>
  <c r="AJ241" i="35"/>
  <c r="AI241" i="35"/>
  <c r="AH241" i="35"/>
  <c r="AG241" i="35"/>
  <c r="AF241" i="35"/>
  <c r="AE241" i="35"/>
  <c r="AD241" i="35"/>
  <c r="AW240" i="35"/>
  <c r="BH240" i="35" s="1"/>
  <c r="AV240" i="35"/>
  <c r="BG240" i="35" s="1"/>
  <c r="AU240" i="35"/>
  <c r="BF240" i="35" s="1"/>
  <c r="AT240" i="35"/>
  <c r="BE240" i="35" s="1"/>
  <c r="AS240" i="35"/>
  <c r="BD240" i="35" s="1"/>
  <c r="AR240" i="35"/>
  <c r="BC240" i="35" s="1"/>
  <c r="AQ240" i="35"/>
  <c r="BB240" i="35" s="1"/>
  <c r="AP240" i="35"/>
  <c r="BA240" i="35" s="1"/>
  <c r="AO240" i="35"/>
  <c r="AZ240" i="35" s="1"/>
  <c r="AL240" i="35"/>
  <c r="AK240" i="35"/>
  <c r="AJ240" i="35"/>
  <c r="AI240" i="35"/>
  <c r="AH240" i="35"/>
  <c r="AG240" i="35"/>
  <c r="AF240" i="35"/>
  <c r="AE240" i="35"/>
  <c r="AD240" i="35"/>
  <c r="AW238" i="35"/>
  <c r="BH238" i="35" s="1"/>
  <c r="AV238" i="35"/>
  <c r="BG238" i="35" s="1"/>
  <c r="AU238" i="35"/>
  <c r="BF238" i="35" s="1"/>
  <c r="AT238" i="35"/>
  <c r="BE238" i="35" s="1"/>
  <c r="AS238" i="35"/>
  <c r="BD238" i="35" s="1"/>
  <c r="AR238" i="35"/>
  <c r="BC238" i="35" s="1"/>
  <c r="AQ238" i="35"/>
  <c r="BB238" i="35" s="1"/>
  <c r="AP238" i="35"/>
  <c r="BA238" i="35" s="1"/>
  <c r="AO238" i="35"/>
  <c r="AZ238" i="35" s="1"/>
  <c r="AL238" i="35"/>
  <c r="AK238" i="35"/>
  <c r="AJ238" i="35"/>
  <c r="AI238" i="35"/>
  <c r="AH238" i="35"/>
  <c r="AG238" i="35"/>
  <c r="AF238" i="35"/>
  <c r="AE238" i="35"/>
  <c r="AD238" i="35"/>
  <c r="BH237" i="35"/>
  <c r="AW237" i="35"/>
  <c r="AV237" i="35"/>
  <c r="BG237" i="35" s="1"/>
  <c r="AU237" i="35"/>
  <c r="BF237" i="35" s="1"/>
  <c r="AT237" i="35"/>
  <c r="BE237" i="35" s="1"/>
  <c r="AS237" i="35"/>
  <c r="BD237" i="35" s="1"/>
  <c r="AR237" i="35"/>
  <c r="BC237" i="35" s="1"/>
  <c r="AQ237" i="35"/>
  <c r="BB237" i="35" s="1"/>
  <c r="AP237" i="35"/>
  <c r="BA237" i="35" s="1"/>
  <c r="AO237" i="35"/>
  <c r="AZ237" i="35" s="1"/>
  <c r="AL237" i="35"/>
  <c r="AK237" i="35"/>
  <c r="AJ237" i="35"/>
  <c r="AI237" i="35"/>
  <c r="AH237" i="35"/>
  <c r="AG237" i="35"/>
  <c r="AF237" i="35"/>
  <c r="AE237" i="35"/>
  <c r="AD237" i="35"/>
  <c r="AW236" i="35"/>
  <c r="BH236" i="35" s="1"/>
  <c r="AV236" i="35"/>
  <c r="BG236" i="35" s="1"/>
  <c r="AU236" i="35"/>
  <c r="BF236" i="35" s="1"/>
  <c r="AT236" i="35"/>
  <c r="BE236" i="35" s="1"/>
  <c r="AS236" i="35"/>
  <c r="BD236" i="35" s="1"/>
  <c r="AR236" i="35"/>
  <c r="BC236" i="35" s="1"/>
  <c r="AQ236" i="35"/>
  <c r="BB236" i="35" s="1"/>
  <c r="AP236" i="35"/>
  <c r="BA236" i="35" s="1"/>
  <c r="AO236" i="35"/>
  <c r="AZ236" i="35" s="1"/>
  <c r="AL236" i="35"/>
  <c r="AK236" i="35"/>
  <c r="AJ236" i="35"/>
  <c r="AI236" i="35"/>
  <c r="AH236" i="35"/>
  <c r="AG236" i="35"/>
  <c r="AF236" i="35"/>
  <c r="AE236" i="35"/>
  <c r="AD236" i="35"/>
  <c r="AW235" i="35"/>
  <c r="BH235" i="35" s="1"/>
  <c r="AV235" i="35"/>
  <c r="BG235" i="35" s="1"/>
  <c r="AU235" i="35"/>
  <c r="BF235" i="35" s="1"/>
  <c r="AT235" i="35"/>
  <c r="BE235" i="35" s="1"/>
  <c r="AS235" i="35"/>
  <c r="BD235" i="35" s="1"/>
  <c r="AR235" i="35"/>
  <c r="BC235" i="35" s="1"/>
  <c r="AQ235" i="35"/>
  <c r="BB235" i="35" s="1"/>
  <c r="AP235" i="35"/>
  <c r="BA235" i="35" s="1"/>
  <c r="AO235" i="35"/>
  <c r="AZ235" i="35" s="1"/>
  <c r="AL235" i="35"/>
  <c r="AK235" i="35"/>
  <c r="AJ235" i="35"/>
  <c r="AI235" i="35"/>
  <c r="AH235" i="35"/>
  <c r="AG235" i="35"/>
  <c r="AF235" i="35"/>
  <c r="AE235" i="35"/>
  <c r="AD235" i="35"/>
  <c r="AW234" i="35"/>
  <c r="BH234" i="35" s="1"/>
  <c r="AV234" i="35"/>
  <c r="BG234" i="35" s="1"/>
  <c r="AU234" i="35"/>
  <c r="BF234" i="35" s="1"/>
  <c r="AT234" i="35"/>
  <c r="BE234" i="35" s="1"/>
  <c r="AS234" i="35"/>
  <c r="BD234" i="35" s="1"/>
  <c r="AR234" i="35"/>
  <c r="BC234" i="35" s="1"/>
  <c r="AQ234" i="35"/>
  <c r="BB234" i="35" s="1"/>
  <c r="AP234" i="35"/>
  <c r="BA234" i="35" s="1"/>
  <c r="AO234" i="35"/>
  <c r="AZ234" i="35" s="1"/>
  <c r="AL234" i="35"/>
  <c r="AK234" i="35"/>
  <c r="AJ234" i="35"/>
  <c r="AI234" i="35"/>
  <c r="AH234" i="35"/>
  <c r="AG234" i="35"/>
  <c r="AF234" i="35"/>
  <c r="AE234" i="35"/>
  <c r="AD234" i="35"/>
  <c r="AW233" i="35"/>
  <c r="BH233" i="35" s="1"/>
  <c r="AV233" i="35"/>
  <c r="BG233" i="35" s="1"/>
  <c r="AU233" i="35"/>
  <c r="BF233" i="35" s="1"/>
  <c r="AT233" i="35"/>
  <c r="BE233" i="35" s="1"/>
  <c r="AS233" i="35"/>
  <c r="BD233" i="35" s="1"/>
  <c r="AR233" i="35"/>
  <c r="BC233" i="35" s="1"/>
  <c r="AQ233" i="35"/>
  <c r="BB233" i="35" s="1"/>
  <c r="AP233" i="35"/>
  <c r="BA233" i="35" s="1"/>
  <c r="AO233" i="35"/>
  <c r="AZ233" i="35" s="1"/>
  <c r="AL233" i="35"/>
  <c r="AK233" i="35"/>
  <c r="AJ233" i="35"/>
  <c r="AI233" i="35"/>
  <c r="AH233" i="35"/>
  <c r="AG233" i="35"/>
  <c r="AF233" i="35"/>
  <c r="AE233" i="35"/>
  <c r="AD233" i="35"/>
  <c r="BE232" i="35"/>
  <c r="AW232" i="35"/>
  <c r="BH232" i="35" s="1"/>
  <c r="AV232" i="35"/>
  <c r="BG232" i="35" s="1"/>
  <c r="AU232" i="35"/>
  <c r="BF232" i="35" s="1"/>
  <c r="AT232" i="35"/>
  <c r="AS232" i="35"/>
  <c r="BD232" i="35" s="1"/>
  <c r="AR232" i="35"/>
  <c r="BC232" i="35" s="1"/>
  <c r="AQ232" i="35"/>
  <c r="BB232" i="35" s="1"/>
  <c r="AP232" i="35"/>
  <c r="BA232" i="35" s="1"/>
  <c r="AO232" i="35"/>
  <c r="AZ232" i="35" s="1"/>
  <c r="AL232" i="35"/>
  <c r="AK232" i="35"/>
  <c r="AJ232" i="35"/>
  <c r="AI232" i="35"/>
  <c r="AH232" i="35"/>
  <c r="AG232" i="35"/>
  <c r="AF232" i="35"/>
  <c r="AE232" i="35"/>
  <c r="AD232" i="35"/>
  <c r="AW231" i="35"/>
  <c r="BH231" i="35" s="1"/>
  <c r="AV231" i="35"/>
  <c r="BG231" i="35" s="1"/>
  <c r="AU231" i="35"/>
  <c r="BF231" i="35" s="1"/>
  <c r="AT231" i="35"/>
  <c r="BE231" i="35" s="1"/>
  <c r="AS231" i="35"/>
  <c r="BD231" i="35" s="1"/>
  <c r="AR231" i="35"/>
  <c r="BC231" i="35" s="1"/>
  <c r="AQ231" i="35"/>
  <c r="BB231" i="35" s="1"/>
  <c r="AP231" i="35"/>
  <c r="BA231" i="35" s="1"/>
  <c r="AO231" i="35"/>
  <c r="AZ231" i="35" s="1"/>
  <c r="AL231" i="35"/>
  <c r="AK231" i="35"/>
  <c r="AJ231" i="35"/>
  <c r="AI231" i="35"/>
  <c r="AH231" i="35"/>
  <c r="AG231" i="35"/>
  <c r="AF231" i="35"/>
  <c r="AE231" i="35"/>
  <c r="AD231" i="35"/>
  <c r="AZ230" i="35"/>
  <c r="AW230" i="35"/>
  <c r="BH230" i="35" s="1"/>
  <c r="AV230" i="35"/>
  <c r="BG230" i="35" s="1"/>
  <c r="AU230" i="35"/>
  <c r="BF230" i="35" s="1"/>
  <c r="AT230" i="35"/>
  <c r="BE230" i="35" s="1"/>
  <c r="AS230" i="35"/>
  <c r="BD230" i="35" s="1"/>
  <c r="AR230" i="35"/>
  <c r="BC230" i="35" s="1"/>
  <c r="AQ230" i="35"/>
  <c r="BB230" i="35" s="1"/>
  <c r="AP230" i="35"/>
  <c r="BA230" i="35" s="1"/>
  <c r="AO230" i="35"/>
  <c r="AL230" i="35"/>
  <c r="AK230" i="35"/>
  <c r="AJ230" i="35"/>
  <c r="AI230" i="35"/>
  <c r="AH230" i="35"/>
  <c r="AG230" i="35"/>
  <c r="AF230" i="35"/>
  <c r="AE230" i="35"/>
  <c r="AD230" i="35"/>
  <c r="AW229" i="35"/>
  <c r="BH229" i="35" s="1"/>
  <c r="AV229" i="35"/>
  <c r="BG229" i="35" s="1"/>
  <c r="AU229" i="35"/>
  <c r="BF229" i="35" s="1"/>
  <c r="AT229" i="35"/>
  <c r="BE229" i="35" s="1"/>
  <c r="AS229" i="35"/>
  <c r="BD229" i="35" s="1"/>
  <c r="AR229" i="35"/>
  <c r="BC229" i="35" s="1"/>
  <c r="AQ229" i="35"/>
  <c r="BB229" i="35" s="1"/>
  <c r="AP229" i="35"/>
  <c r="BA229" i="35" s="1"/>
  <c r="AO229" i="35"/>
  <c r="AZ229" i="35" s="1"/>
  <c r="AL229" i="35"/>
  <c r="AK229" i="35"/>
  <c r="AJ229" i="35"/>
  <c r="AI229" i="35"/>
  <c r="AH229" i="35"/>
  <c r="AG229" i="35"/>
  <c r="AF229" i="35"/>
  <c r="AE229" i="35"/>
  <c r="AD229" i="35"/>
  <c r="BG228" i="35"/>
  <c r="AW228" i="35"/>
  <c r="BH228" i="35" s="1"/>
  <c r="AV228" i="35"/>
  <c r="AU228" i="35"/>
  <c r="BF228" i="35" s="1"/>
  <c r="AT228" i="35"/>
  <c r="BE228" i="35" s="1"/>
  <c r="AS228" i="35"/>
  <c r="BD228" i="35" s="1"/>
  <c r="AR228" i="35"/>
  <c r="BC228" i="35" s="1"/>
  <c r="AQ228" i="35"/>
  <c r="BB228" i="35" s="1"/>
  <c r="AP228" i="35"/>
  <c r="BA228" i="35" s="1"/>
  <c r="AO228" i="35"/>
  <c r="AZ228" i="35" s="1"/>
  <c r="AL228" i="35"/>
  <c r="AK228" i="35"/>
  <c r="AJ228" i="35"/>
  <c r="AI228" i="35"/>
  <c r="AH228" i="35"/>
  <c r="AG228" i="35"/>
  <c r="AF228" i="35"/>
  <c r="AE228" i="35"/>
  <c r="AD228" i="35"/>
  <c r="AW227" i="35"/>
  <c r="BH227" i="35" s="1"/>
  <c r="AV227" i="35"/>
  <c r="BG227" i="35" s="1"/>
  <c r="AU227" i="35"/>
  <c r="BF227" i="35" s="1"/>
  <c r="AT227" i="35"/>
  <c r="BE227" i="35" s="1"/>
  <c r="AS227" i="35"/>
  <c r="BD227" i="35" s="1"/>
  <c r="AR227" i="35"/>
  <c r="BC227" i="35" s="1"/>
  <c r="AQ227" i="35"/>
  <c r="BB227" i="35" s="1"/>
  <c r="AP227" i="35"/>
  <c r="BA227" i="35" s="1"/>
  <c r="AO227" i="35"/>
  <c r="AZ227" i="35" s="1"/>
  <c r="AL227" i="35"/>
  <c r="AK227" i="35"/>
  <c r="AJ227" i="35"/>
  <c r="AI227" i="35"/>
  <c r="AH227" i="35"/>
  <c r="AG227" i="35"/>
  <c r="AF227" i="35"/>
  <c r="AE227" i="35"/>
  <c r="AD227" i="35"/>
  <c r="AW226" i="35"/>
  <c r="BH226" i="35" s="1"/>
  <c r="AV226" i="35"/>
  <c r="BG226" i="35" s="1"/>
  <c r="AU226" i="35"/>
  <c r="BF226" i="35" s="1"/>
  <c r="AT226" i="35"/>
  <c r="BE226" i="35" s="1"/>
  <c r="AS226" i="35"/>
  <c r="BD226" i="35" s="1"/>
  <c r="AR226" i="35"/>
  <c r="BC226" i="35" s="1"/>
  <c r="AQ226" i="35"/>
  <c r="BB226" i="35" s="1"/>
  <c r="AP226" i="35"/>
  <c r="BA226" i="35" s="1"/>
  <c r="AO226" i="35"/>
  <c r="AZ226" i="35" s="1"/>
  <c r="AL226" i="35"/>
  <c r="AK226" i="35"/>
  <c r="AJ226" i="35"/>
  <c r="AI226" i="35"/>
  <c r="AH226" i="35"/>
  <c r="AG226" i="35"/>
  <c r="AF226" i="35"/>
  <c r="AE226" i="35"/>
  <c r="AD226" i="35"/>
  <c r="BH225" i="35"/>
  <c r="AW225" i="35"/>
  <c r="AV225" i="35"/>
  <c r="BG225" i="35" s="1"/>
  <c r="AU225" i="35"/>
  <c r="BF225" i="35" s="1"/>
  <c r="AT225" i="35"/>
  <c r="BE225" i="35" s="1"/>
  <c r="AS225" i="35"/>
  <c r="BD225" i="35" s="1"/>
  <c r="AR225" i="35"/>
  <c r="BC225" i="35" s="1"/>
  <c r="AQ225" i="35"/>
  <c r="BB225" i="35" s="1"/>
  <c r="AP225" i="35"/>
  <c r="BA225" i="35" s="1"/>
  <c r="AO225" i="35"/>
  <c r="AZ225" i="35" s="1"/>
  <c r="AL225" i="35"/>
  <c r="AK225" i="35"/>
  <c r="AJ225" i="35"/>
  <c r="AI225" i="35"/>
  <c r="AH225" i="35"/>
  <c r="AG225" i="35"/>
  <c r="AF225" i="35"/>
  <c r="AE225" i="35"/>
  <c r="AD225" i="35"/>
  <c r="BE224" i="35"/>
  <c r="AW224" i="35"/>
  <c r="BH224" i="35" s="1"/>
  <c r="AV224" i="35"/>
  <c r="BG224" i="35" s="1"/>
  <c r="AU224" i="35"/>
  <c r="BF224" i="35" s="1"/>
  <c r="AT224" i="35"/>
  <c r="AS224" i="35"/>
  <c r="BD224" i="35" s="1"/>
  <c r="AR224" i="35"/>
  <c r="BC224" i="35" s="1"/>
  <c r="AQ224" i="35"/>
  <c r="BB224" i="35" s="1"/>
  <c r="AP224" i="35"/>
  <c r="BA224" i="35" s="1"/>
  <c r="AO224" i="35"/>
  <c r="AZ224" i="35" s="1"/>
  <c r="AL224" i="35"/>
  <c r="AK224" i="35"/>
  <c r="AJ224" i="35"/>
  <c r="AI224" i="35"/>
  <c r="AH224" i="35"/>
  <c r="AG224" i="35"/>
  <c r="AF224" i="35"/>
  <c r="AE224" i="35"/>
  <c r="AD224" i="35"/>
  <c r="AW223" i="35"/>
  <c r="BH223" i="35" s="1"/>
  <c r="AV223" i="35"/>
  <c r="BG223" i="35" s="1"/>
  <c r="AU223" i="35"/>
  <c r="BF223" i="35" s="1"/>
  <c r="AT223" i="35"/>
  <c r="BE223" i="35" s="1"/>
  <c r="AS223" i="35"/>
  <c r="BD223" i="35" s="1"/>
  <c r="AR223" i="35"/>
  <c r="BC223" i="35" s="1"/>
  <c r="AQ223" i="35"/>
  <c r="BB223" i="35" s="1"/>
  <c r="AP223" i="35"/>
  <c r="BA223" i="35" s="1"/>
  <c r="AO223" i="35"/>
  <c r="AZ223" i="35" s="1"/>
  <c r="AL223" i="35"/>
  <c r="AK223" i="35"/>
  <c r="AJ223" i="35"/>
  <c r="AI223" i="35"/>
  <c r="AH223" i="35"/>
  <c r="AG223" i="35"/>
  <c r="AF223" i="35"/>
  <c r="AE223" i="35"/>
  <c r="AD223" i="35"/>
  <c r="AW222" i="35"/>
  <c r="BH222" i="35" s="1"/>
  <c r="AV222" i="35"/>
  <c r="BG222" i="35" s="1"/>
  <c r="AU222" i="35"/>
  <c r="BF222" i="35" s="1"/>
  <c r="AT222" i="35"/>
  <c r="BE222" i="35" s="1"/>
  <c r="AS222" i="35"/>
  <c r="BD222" i="35" s="1"/>
  <c r="AR222" i="35"/>
  <c r="BC222" i="35" s="1"/>
  <c r="AQ222" i="35"/>
  <c r="BB222" i="35" s="1"/>
  <c r="AP222" i="35"/>
  <c r="BA222" i="35" s="1"/>
  <c r="AO222" i="35"/>
  <c r="AZ222" i="35" s="1"/>
  <c r="AL222" i="35"/>
  <c r="AK222" i="35"/>
  <c r="AJ222" i="35"/>
  <c r="AI222" i="35"/>
  <c r="AH222" i="35"/>
  <c r="AG222" i="35"/>
  <c r="AF222" i="35"/>
  <c r="AE222" i="35"/>
  <c r="AD222" i="35"/>
  <c r="AW221" i="35"/>
  <c r="BH221" i="35" s="1"/>
  <c r="AV221" i="35"/>
  <c r="BG221" i="35" s="1"/>
  <c r="AU221" i="35"/>
  <c r="BF221" i="35" s="1"/>
  <c r="AT221" i="35"/>
  <c r="BE221" i="35" s="1"/>
  <c r="AS221" i="35"/>
  <c r="BD221" i="35" s="1"/>
  <c r="AR221" i="35"/>
  <c r="BC221" i="35" s="1"/>
  <c r="AQ221" i="35"/>
  <c r="BB221" i="35" s="1"/>
  <c r="AP221" i="35"/>
  <c r="BA221" i="35" s="1"/>
  <c r="AO221" i="35"/>
  <c r="AZ221" i="35" s="1"/>
  <c r="AL221" i="35"/>
  <c r="AK221" i="35"/>
  <c r="AJ221" i="35"/>
  <c r="AI221" i="35"/>
  <c r="AH221" i="35"/>
  <c r="AG221" i="35"/>
  <c r="AF221" i="35"/>
  <c r="AE221" i="35"/>
  <c r="AD221" i="35"/>
  <c r="AW220" i="35"/>
  <c r="BH220" i="35" s="1"/>
  <c r="AV220" i="35"/>
  <c r="BG220" i="35" s="1"/>
  <c r="AU220" i="35"/>
  <c r="BF220" i="35" s="1"/>
  <c r="AT220" i="35"/>
  <c r="BE220" i="35" s="1"/>
  <c r="AS220" i="35"/>
  <c r="BD220" i="35" s="1"/>
  <c r="AR220" i="35"/>
  <c r="BC220" i="35" s="1"/>
  <c r="AQ220" i="35"/>
  <c r="BB220" i="35" s="1"/>
  <c r="AP220" i="35"/>
  <c r="BA220" i="35" s="1"/>
  <c r="AO220" i="35"/>
  <c r="AZ220" i="35" s="1"/>
  <c r="AL220" i="35"/>
  <c r="AK220" i="35"/>
  <c r="AJ220" i="35"/>
  <c r="AI220" i="35"/>
  <c r="AH220" i="35"/>
  <c r="AG220" i="35"/>
  <c r="AF220" i="35"/>
  <c r="AE220" i="35"/>
  <c r="AD220" i="35"/>
  <c r="AW219" i="35"/>
  <c r="BH219" i="35" s="1"/>
  <c r="AV219" i="35"/>
  <c r="BG219" i="35" s="1"/>
  <c r="AU219" i="35"/>
  <c r="BF219" i="35" s="1"/>
  <c r="AT219" i="35"/>
  <c r="BE219" i="35" s="1"/>
  <c r="AS219" i="35"/>
  <c r="BD219" i="35" s="1"/>
  <c r="AR219" i="35"/>
  <c r="BC219" i="35" s="1"/>
  <c r="AQ219" i="35"/>
  <c r="BB219" i="35" s="1"/>
  <c r="AP219" i="35"/>
  <c r="BA219" i="35" s="1"/>
  <c r="AO219" i="35"/>
  <c r="AZ219" i="35" s="1"/>
  <c r="AL219" i="35"/>
  <c r="AK219" i="35"/>
  <c r="AJ219" i="35"/>
  <c r="AI219" i="35"/>
  <c r="AH219" i="35"/>
  <c r="AG219" i="35"/>
  <c r="AF219" i="35"/>
  <c r="AE219" i="35"/>
  <c r="AD219" i="35"/>
  <c r="AW218" i="35"/>
  <c r="BH218" i="35" s="1"/>
  <c r="AV218" i="35"/>
  <c r="BG218" i="35" s="1"/>
  <c r="AU218" i="35"/>
  <c r="BF218" i="35" s="1"/>
  <c r="AT218" i="35"/>
  <c r="BE218" i="35" s="1"/>
  <c r="AS218" i="35"/>
  <c r="BD218" i="35" s="1"/>
  <c r="AR218" i="35"/>
  <c r="BC218" i="35" s="1"/>
  <c r="AQ218" i="35"/>
  <c r="BB218" i="35" s="1"/>
  <c r="AP218" i="35"/>
  <c r="BA218" i="35" s="1"/>
  <c r="AO218" i="35"/>
  <c r="AZ218" i="35" s="1"/>
  <c r="AL218" i="35"/>
  <c r="AK218" i="35"/>
  <c r="AJ218" i="35"/>
  <c r="AI218" i="35"/>
  <c r="AH218" i="35"/>
  <c r="AG218" i="35"/>
  <c r="AF218" i="35"/>
  <c r="AE218" i="35"/>
  <c r="AD218" i="35"/>
  <c r="BG217" i="35"/>
  <c r="AZ217" i="35"/>
  <c r="AW217" i="35"/>
  <c r="BH217" i="35" s="1"/>
  <c r="AV217" i="35"/>
  <c r="AU217" i="35"/>
  <c r="BF217" i="35" s="1"/>
  <c r="AT217" i="35"/>
  <c r="BE217" i="35" s="1"/>
  <c r="AS217" i="35"/>
  <c r="BD217" i="35" s="1"/>
  <c r="AR217" i="35"/>
  <c r="BC217" i="35" s="1"/>
  <c r="AQ217" i="35"/>
  <c r="BB217" i="35" s="1"/>
  <c r="AP217" i="35"/>
  <c r="BA217" i="35" s="1"/>
  <c r="AO217" i="35"/>
  <c r="AL217" i="35"/>
  <c r="AK217" i="35"/>
  <c r="AJ217" i="35"/>
  <c r="AI217" i="35"/>
  <c r="AH217" i="35"/>
  <c r="AG217" i="35"/>
  <c r="AF217" i="35"/>
  <c r="AE217" i="35"/>
  <c r="AD217" i="35"/>
  <c r="AW216" i="35"/>
  <c r="BH216" i="35" s="1"/>
  <c r="AV216" i="35"/>
  <c r="BG216" i="35" s="1"/>
  <c r="AU216" i="35"/>
  <c r="BF216" i="35" s="1"/>
  <c r="AT216" i="35"/>
  <c r="BE216" i="35" s="1"/>
  <c r="AS216" i="35"/>
  <c r="BD216" i="35" s="1"/>
  <c r="AR216" i="35"/>
  <c r="BC216" i="35" s="1"/>
  <c r="AQ216" i="35"/>
  <c r="BB216" i="35" s="1"/>
  <c r="AP216" i="35"/>
  <c r="BA216" i="35" s="1"/>
  <c r="AO216" i="35"/>
  <c r="AZ216" i="35" s="1"/>
  <c r="AL216" i="35"/>
  <c r="AK216" i="35"/>
  <c r="AJ216" i="35"/>
  <c r="AI216" i="35"/>
  <c r="AH216" i="35"/>
  <c r="AG216" i="35"/>
  <c r="AF216" i="35"/>
  <c r="AE216" i="35"/>
  <c r="AD216" i="35"/>
  <c r="AW215" i="35"/>
  <c r="BH215" i="35" s="1"/>
  <c r="AV215" i="35"/>
  <c r="BG215" i="35" s="1"/>
  <c r="AU215" i="35"/>
  <c r="BF215" i="35" s="1"/>
  <c r="AT215" i="35"/>
  <c r="BE215" i="35" s="1"/>
  <c r="AS215" i="35"/>
  <c r="BD215" i="35" s="1"/>
  <c r="AR215" i="35"/>
  <c r="BC215" i="35" s="1"/>
  <c r="AQ215" i="35"/>
  <c r="BB215" i="35" s="1"/>
  <c r="AP215" i="35"/>
  <c r="BA215" i="35" s="1"/>
  <c r="AO215" i="35"/>
  <c r="AZ215" i="35" s="1"/>
  <c r="AL215" i="35"/>
  <c r="AK215" i="35"/>
  <c r="AJ215" i="35"/>
  <c r="AI215" i="35"/>
  <c r="AH215" i="35"/>
  <c r="AG215" i="35"/>
  <c r="AF215" i="35"/>
  <c r="AE215" i="35"/>
  <c r="AD215" i="35"/>
  <c r="AW214" i="35"/>
  <c r="BH214" i="35" s="1"/>
  <c r="AV214" i="35"/>
  <c r="BG214" i="35" s="1"/>
  <c r="AU214" i="35"/>
  <c r="BF214" i="35" s="1"/>
  <c r="AT214" i="35"/>
  <c r="BE214" i="35" s="1"/>
  <c r="AS214" i="35"/>
  <c r="BD214" i="35" s="1"/>
  <c r="AR214" i="35"/>
  <c r="BC214" i="35" s="1"/>
  <c r="AQ214" i="35"/>
  <c r="BB214" i="35" s="1"/>
  <c r="AP214" i="35"/>
  <c r="BA214" i="35" s="1"/>
  <c r="AO214" i="35"/>
  <c r="AZ214" i="35" s="1"/>
  <c r="AL214" i="35"/>
  <c r="AK214" i="35"/>
  <c r="AJ214" i="35"/>
  <c r="AI214" i="35"/>
  <c r="AH214" i="35"/>
  <c r="AG214" i="35"/>
  <c r="AF214" i="35"/>
  <c r="AE214" i="35"/>
  <c r="AD214" i="35"/>
  <c r="AW213" i="35"/>
  <c r="BH213" i="35" s="1"/>
  <c r="AV213" i="35"/>
  <c r="BG213" i="35" s="1"/>
  <c r="AU213" i="35"/>
  <c r="BF213" i="35" s="1"/>
  <c r="AT213" i="35"/>
  <c r="BE213" i="35" s="1"/>
  <c r="AS213" i="35"/>
  <c r="BD213" i="35" s="1"/>
  <c r="AR213" i="35"/>
  <c r="BC213" i="35" s="1"/>
  <c r="AQ213" i="35"/>
  <c r="BB213" i="35" s="1"/>
  <c r="AP213" i="35"/>
  <c r="BA213" i="35" s="1"/>
  <c r="AO213" i="35"/>
  <c r="AZ213" i="35" s="1"/>
  <c r="AL213" i="35"/>
  <c r="AK213" i="35"/>
  <c r="AJ213" i="35"/>
  <c r="AI213" i="35"/>
  <c r="AH213" i="35"/>
  <c r="AG213" i="35"/>
  <c r="AF213" i="35"/>
  <c r="AE213" i="35"/>
  <c r="AD213" i="35"/>
  <c r="AW212" i="35"/>
  <c r="BH212" i="35" s="1"/>
  <c r="AV212" i="35"/>
  <c r="BG212" i="35" s="1"/>
  <c r="AU212" i="35"/>
  <c r="BF212" i="35" s="1"/>
  <c r="AT212" i="35"/>
  <c r="BE212" i="35" s="1"/>
  <c r="AS212" i="35"/>
  <c r="BD212" i="35" s="1"/>
  <c r="AR212" i="35"/>
  <c r="BC212" i="35" s="1"/>
  <c r="AQ212" i="35"/>
  <c r="BB212" i="35" s="1"/>
  <c r="AP212" i="35"/>
  <c r="BA212" i="35" s="1"/>
  <c r="AO212" i="35"/>
  <c r="AZ212" i="35" s="1"/>
  <c r="AL212" i="35"/>
  <c r="AK212" i="35"/>
  <c r="AJ212" i="35"/>
  <c r="AI212" i="35"/>
  <c r="AH212" i="35"/>
  <c r="AG212" i="35"/>
  <c r="AF212" i="35"/>
  <c r="AE212" i="35"/>
  <c r="AD212" i="35"/>
  <c r="AW211" i="35"/>
  <c r="BH211" i="35" s="1"/>
  <c r="AV211" i="35"/>
  <c r="BG211" i="35" s="1"/>
  <c r="AU211" i="35"/>
  <c r="BF211" i="35" s="1"/>
  <c r="AT211" i="35"/>
  <c r="BE211" i="35" s="1"/>
  <c r="AS211" i="35"/>
  <c r="BD211" i="35" s="1"/>
  <c r="AR211" i="35"/>
  <c r="BC211" i="35" s="1"/>
  <c r="AQ211" i="35"/>
  <c r="BB211" i="35" s="1"/>
  <c r="AP211" i="35"/>
  <c r="BA211" i="35" s="1"/>
  <c r="AO211" i="35"/>
  <c r="AZ211" i="35" s="1"/>
  <c r="AL211" i="35"/>
  <c r="AK211" i="35"/>
  <c r="AJ211" i="35"/>
  <c r="AI211" i="35"/>
  <c r="AH211" i="35"/>
  <c r="AG211" i="35"/>
  <c r="AF211" i="35"/>
  <c r="AE211" i="35"/>
  <c r="AD211" i="35"/>
  <c r="BE210" i="35"/>
  <c r="AW210" i="35"/>
  <c r="BH210" i="35" s="1"/>
  <c r="AV210" i="35"/>
  <c r="BG210" i="35" s="1"/>
  <c r="AU210" i="35"/>
  <c r="BF210" i="35" s="1"/>
  <c r="AT210" i="35"/>
  <c r="AS210" i="35"/>
  <c r="BD210" i="35" s="1"/>
  <c r="AR210" i="35"/>
  <c r="BC210" i="35" s="1"/>
  <c r="AQ210" i="35"/>
  <c r="BB210" i="35" s="1"/>
  <c r="AP210" i="35"/>
  <c r="BA210" i="35" s="1"/>
  <c r="AO210" i="35"/>
  <c r="AZ210" i="35" s="1"/>
  <c r="AL210" i="35"/>
  <c r="AK210" i="35"/>
  <c r="AJ210" i="35"/>
  <c r="AI210" i="35"/>
  <c r="AH210" i="35"/>
  <c r="AG210" i="35"/>
  <c r="AF210" i="35"/>
  <c r="AE210" i="35"/>
  <c r="AD210" i="35"/>
  <c r="AW209" i="35"/>
  <c r="BH209" i="35" s="1"/>
  <c r="AV209" i="35"/>
  <c r="BG209" i="35" s="1"/>
  <c r="AU209" i="35"/>
  <c r="BF209" i="35" s="1"/>
  <c r="AT209" i="35"/>
  <c r="BE209" i="35" s="1"/>
  <c r="AS209" i="35"/>
  <c r="BD209" i="35" s="1"/>
  <c r="AR209" i="35"/>
  <c r="BC209" i="35" s="1"/>
  <c r="AQ209" i="35"/>
  <c r="BB209" i="35" s="1"/>
  <c r="AP209" i="35"/>
  <c r="BA209" i="35" s="1"/>
  <c r="AO209" i="35"/>
  <c r="AZ209" i="35" s="1"/>
  <c r="AL209" i="35"/>
  <c r="AK209" i="35"/>
  <c r="AJ209" i="35"/>
  <c r="AI209" i="35"/>
  <c r="AH209" i="35"/>
  <c r="AG209" i="35"/>
  <c r="AF209" i="35"/>
  <c r="AE209" i="35"/>
  <c r="AD209" i="35"/>
  <c r="BF208" i="35"/>
  <c r="BE208" i="35"/>
  <c r="AW208" i="35"/>
  <c r="BH208" i="35" s="1"/>
  <c r="AV208" i="35"/>
  <c r="BG208" i="35" s="1"/>
  <c r="AU208" i="35"/>
  <c r="AT208" i="35"/>
  <c r="AS208" i="35"/>
  <c r="BD208" i="35" s="1"/>
  <c r="AR208" i="35"/>
  <c r="BC208" i="35" s="1"/>
  <c r="AQ208" i="35"/>
  <c r="BB208" i="35" s="1"/>
  <c r="AP208" i="35"/>
  <c r="BA208" i="35" s="1"/>
  <c r="AO208" i="35"/>
  <c r="AZ208" i="35" s="1"/>
  <c r="AL208" i="35"/>
  <c r="AK208" i="35"/>
  <c r="AJ208" i="35"/>
  <c r="AI208" i="35"/>
  <c r="AH208" i="35"/>
  <c r="AG208" i="35"/>
  <c r="AF208" i="35"/>
  <c r="AE208" i="35"/>
  <c r="AD208" i="35"/>
  <c r="AW207" i="35"/>
  <c r="BH207" i="35" s="1"/>
  <c r="AV207" i="35"/>
  <c r="BG207" i="35" s="1"/>
  <c r="AU207" i="35"/>
  <c r="BF207" i="35" s="1"/>
  <c r="AT207" i="35"/>
  <c r="BE207" i="35" s="1"/>
  <c r="AS207" i="35"/>
  <c r="BD207" i="35" s="1"/>
  <c r="AR207" i="35"/>
  <c r="BC207" i="35" s="1"/>
  <c r="AQ207" i="35"/>
  <c r="BB207" i="35" s="1"/>
  <c r="AP207" i="35"/>
  <c r="BA207" i="35" s="1"/>
  <c r="AO207" i="35"/>
  <c r="AZ207" i="35" s="1"/>
  <c r="AL207" i="35"/>
  <c r="AK207" i="35"/>
  <c r="AJ207" i="35"/>
  <c r="AI207" i="35"/>
  <c r="AH207" i="35"/>
  <c r="AG207" i="35"/>
  <c r="AF207" i="35"/>
  <c r="AE207" i="35"/>
  <c r="AD207" i="35"/>
  <c r="AZ206" i="35"/>
  <c r="AW206" i="35"/>
  <c r="BH206" i="35" s="1"/>
  <c r="AV206" i="35"/>
  <c r="BG206" i="35" s="1"/>
  <c r="AU206" i="35"/>
  <c r="BF206" i="35" s="1"/>
  <c r="AT206" i="35"/>
  <c r="BE206" i="35" s="1"/>
  <c r="AS206" i="35"/>
  <c r="BD206" i="35" s="1"/>
  <c r="AR206" i="35"/>
  <c r="BC206" i="35" s="1"/>
  <c r="AQ206" i="35"/>
  <c r="BB206" i="35" s="1"/>
  <c r="AP206" i="35"/>
  <c r="BA206" i="35" s="1"/>
  <c r="AO206" i="35"/>
  <c r="AL206" i="35"/>
  <c r="AK206" i="35"/>
  <c r="AJ206" i="35"/>
  <c r="AI206" i="35"/>
  <c r="AH206" i="35"/>
  <c r="AG206" i="35"/>
  <c r="AF206" i="35"/>
  <c r="AE206" i="35"/>
  <c r="AD206" i="35"/>
  <c r="BG205" i="35"/>
  <c r="AW205" i="35"/>
  <c r="BH205" i="35" s="1"/>
  <c r="AV205" i="35"/>
  <c r="AU205" i="35"/>
  <c r="BF205" i="35" s="1"/>
  <c r="AT205" i="35"/>
  <c r="BE205" i="35" s="1"/>
  <c r="AS205" i="35"/>
  <c r="BD205" i="35" s="1"/>
  <c r="AR205" i="35"/>
  <c r="BC205" i="35" s="1"/>
  <c r="AQ205" i="35"/>
  <c r="BB205" i="35" s="1"/>
  <c r="AP205" i="35"/>
  <c r="BA205" i="35" s="1"/>
  <c r="AO205" i="35"/>
  <c r="AZ205" i="35" s="1"/>
  <c r="AL205" i="35"/>
  <c r="AK205" i="35"/>
  <c r="AJ205" i="35"/>
  <c r="AI205" i="35"/>
  <c r="AH205" i="35"/>
  <c r="AG205" i="35"/>
  <c r="AF205" i="35"/>
  <c r="AE205" i="35"/>
  <c r="AD205" i="35"/>
  <c r="AW204" i="35"/>
  <c r="BH204" i="35" s="1"/>
  <c r="AV204" i="35"/>
  <c r="BG204" i="35" s="1"/>
  <c r="AU204" i="35"/>
  <c r="BF204" i="35" s="1"/>
  <c r="AT204" i="35"/>
  <c r="BE204" i="35" s="1"/>
  <c r="AS204" i="35"/>
  <c r="BD204" i="35" s="1"/>
  <c r="AR204" i="35"/>
  <c r="BC204" i="35" s="1"/>
  <c r="AQ204" i="35"/>
  <c r="BB204" i="35" s="1"/>
  <c r="AP204" i="35"/>
  <c r="BA204" i="35" s="1"/>
  <c r="AO204" i="35"/>
  <c r="AZ204" i="35" s="1"/>
  <c r="AL204" i="35"/>
  <c r="AK204" i="35"/>
  <c r="AJ204" i="35"/>
  <c r="AI204" i="35"/>
  <c r="AH204" i="35"/>
  <c r="AG204" i="35"/>
  <c r="AF204" i="35"/>
  <c r="AE204" i="35"/>
  <c r="AD204" i="35"/>
  <c r="BF203" i="35"/>
  <c r="AW203" i="35"/>
  <c r="BH203" i="35" s="1"/>
  <c r="AV203" i="35"/>
  <c r="BG203" i="35" s="1"/>
  <c r="AU203" i="35"/>
  <c r="AT203" i="35"/>
  <c r="BE203" i="35" s="1"/>
  <c r="AS203" i="35"/>
  <c r="BD203" i="35" s="1"/>
  <c r="AR203" i="35"/>
  <c r="BC203" i="35" s="1"/>
  <c r="AQ203" i="35"/>
  <c r="BB203" i="35" s="1"/>
  <c r="AP203" i="35"/>
  <c r="BA203" i="35" s="1"/>
  <c r="AO203" i="35"/>
  <c r="AZ203" i="35" s="1"/>
  <c r="AL203" i="35"/>
  <c r="AK203" i="35"/>
  <c r="AJ203" i="35"/>
  <c r="AI203" i="35"/>
  <c r="AH203" i="35"/>
  <c r="AG203" i="35"/>
  <c r="AF203" i="35"/>
  <c r="AE203" i="35"/>
  <c r="AD203" i="35"/>
  <c r="BE202" i="35"/>
  <c r="AW202" i="35"/>
  <c r="BH202" i="35" s="1"/>
  <c r="AV202" i="35"/>
  <c r="BG202" i="35" s="1"/>
  <c r="AU202" i="35"/>
  <c r="BF202" i="35" s="1"/>
  <c r="AT202" i="35"/>
  <c r="AS202" i="35"/>
  <c r="BD202" i="35" s="1"/>
  <c r="AR202" i="35"/>
  <c r="BC202" i="35" s="1"/>
  <c r="AQ202" i="35"/>
  <c r="BB202" i="35" s="1"/>
  <c r="AP202" i="35"/>
  <c r="BA202" i="35" s="1"/>
  <c r="AO202" i="35"/>
  <c r="AZ202" i="35" s="1"/>
  <c r="AL202" i="35"/>
  <c r="AK202" i="35"/>
  <c r="AJ202" i="35"/>
  <c r="AI202" i="35"/>
  <c r="AH202" i="35"/>
  <c r="AG202" i="35"/>
  <c r="AF202" i="35"/>
  <c r="AE202" i="35"/>
  <c r="AD202" i="35"/>
  <c r="AW201" i="35"/>
  <c r="BH201" i="35" s="1"/>
  <c r="AV201" i="35"/>
  <c r="BG201" i="35" s="1"/>
  <c r="AU201" i="35"/>
  <c r="BF201" i="35" s="1"/>
  <c r="AT201" i="35"/>
  <c r="BE201" i="35" s="1"/>
  <c r="AS201" i="35"/>
  <c r="BD201" i="35" s="1"/>
  <c r="AR201" i="35"/>
  <c r="BC201" i="35" s="1"/>
  <c r="AQ201" i="35"/>
  <c r="BB201" i="35" s="1"/>
  <c r="AP201" i="35"/>
  <c r="BA201" i="35" s="1"/>
  <c r="AO201" i="35"/>
  <c r="AZ201" i="35" s="1"/>
  <c r="AL201" i="35"/>
  <c r="AK201" i="35"/>
  <c r="AJ201" i="35"/>
  <c r="AI201" i="35"/>
  <c r="AH201" i="35"/>
  <c r="AG201" i="35"/>
  <c r="AF201" i="35"/>
  <c r="AE201" i="35"/>
  <c r="AD201" i="35"/>
  <c r="AW200" i="35"/>
  <c r="BH200" i="35" s="1"/>
  <c r="AV200" i="35"/>
  <c r="BG200" i="35" s="1"/>
  <c r="AU200" i="35"/>
  <c r="BF200" i="35" s="1"/>
  <c r="AT200" i="35"/>
  <c r="BE200" i="35" s="1"/>
  <c r="AS200" i="35"/>
  <c r="BD200" i="35" s="1"/>
  <c r="AR200" i="35"/>
  <c r="BC200" i="35" s="1"/>
  <c r="AQ200" i="35"/>
  <c r="BB200" i="35" s="1"/>
  <c r="AP200" i="35"/>
  <c r="BA200" i="35" s="1"/>
  <c r="AO200" i="35"/>
  <c r="AZ200" i="35" s="1"/>
  <c r="AL200" i="35"/>
  <c r="AK200" i="35"/>
  <c r="AJ200" i="35"/>
  <c r="AI200" i="35"/>
  <c r="AH200" i="35"/>
  <c r="AG200" i="35"/>
  <c r="AF200" i="35"/>
  <c r="AE200" i="35"/>
  <c r="AD200" i="35"/>
  <c r="AW199" i="35"/>
  <c r="BH199" i="35" s="1"/>
  <c r="AV199" i="35"/>
  <c r="BG199" i="35" s="1"/>
  <c r="AU199" i="35"/>
  <c r="BF199" i="35" s="1"/>
  <c r="AT199" i="35"/>
  <c r="BE199" i="35" s="1"/>
  <c r="AS199" i="35"/>
  <c r="BD199" i="35" s="1"/>
  <c r="AR199" i="35"/>
  <c r="BC199" i="35" s="1"/>
  <c r="AQ199" i="35"/>
  <c r="BB199" i="35" s="1"/>
  <c r="AP199" i="35"/>
  <c r="BA199" i="35" s="1"/>
  <c r="AO199" i="35"/>
  <c r="AZ199" i="35" s="1"/>
  <c r="AL199" i="35"/>
  <c r="AK199" i="35"/>
  <c r="AJ199" i="35"/>
  <c r="AI199" i="35"/>
  <c r="AH199" i="35"/>
  <c r="AG199" i="35"/>
  <c r="AF199" i="35"/>
  <c r="AE199" i="35"/>
  <c r="AD199" i="35"/>
  <c r="AW197" i="35"/>
  <c r="BH197" i="35" s="1"/>
  <c r="AV197" i="35"/>
  <c r="BG197" i="35" s="1"/>
  <c r="AU197" i="35"/>
  <c r="BF197" i="35" s="1"/>
  <c r="AT197" i="35"/>
  <c r="BE197" i="35" s="1"/>
  <c r="AS197" i="35"/>
  <c r="BD197" i="35" s="1"/>
  <c r="AR197" i="35"/>
  <c r="BC197" i="35" s="1"/>
  <c r="AQ197" i="35"/>
  <c r="BB197" i="35" s="1"/>
  <c r="AP197" i="35"/>
  <c r="BA197" i="35" s="1"/>
  <c r="AO197" i="35"/>
  <c r="AZ197" i="35" s="1"/>
  <c r="AL197" i="35"/>
  <c r="AK197" i="35"/>
  <c r="AJ197" i="35"/>
  <c r="AI197" i="35"/>
  <c r="AH197" i="35"/>
  <c r="AG197" i="35"/>
  <c r="AF197" i="35"/>
  <c r="AE197" i="35"/>
  <c r="AD197" i="35"/>
  <c r="AW196" i="35"/>
  <c r="BH196" i="35" s="1"/>
  <c r="AV196" i="35"/>
  <c r="BG196" i="35" s="1"/>
  <c r="AU196" i="35"/>
  <c r="BF196" i="35" s="1"/>
  <c r="AT196" i="35"/>
  <c r="BE196" i="35" s="1"/>
  <c r="AS196" i="35"/>
  <c r="BD196" i="35" s="1"/>
  <c r="AR196" i="35"/>
  <c r="BC196" i="35" s="1"/>
  <c r="AQ196" i="35"/>
  <c r="BB196" i="35" s="1"/>
  <c r="AP196" i="35"/>
  <c r="BA196" i="35" s="1"/>
  <c r="AO196" i="35"/>
  <c r="AZ196" i="35" s="1"/>
  <c r="AL196" i="35"/>
  <c r="AK196" i="35"/>
  <c r="AJ196" i="35"/>
  <c r="AI196" i="35"/>
  <c r="AH196" i="35"/>
  <c r="AG196" i="35"/>
  <c r="AF196" i="35"/>
  <c r="AE196" i="35"/>
  <c r="AD196" i="35"/>
  <c r="BF195" i="35"/>
  <c r="AW195" i="35"/>
  <c r="BH195" i="35" s="1"/>
  <c r="AV195" i="35"/>
  <c r="BG195" i="35" s="1"/>
  <c r="AU195" i="35"/>
  <c r="AT195" i="35"/>
  <c r="BE195" i="35" s="1"/>
  <c r="AS195" i="35"/>
  <c r="BD195" i="35" s="1"/>
  <c r="AR195" i="35"/>
  <c r="BC195" i="35" s="1"/>
  <c r="AQ195" i="35"/>
  <c r="BB195" i="35" s="1"/>
  <c r="AP195" i="35"/>
  <c r="BA195" i="35" s="1"/>
  <c r="AO195" i="35"/>
  <c r="AZ195" i="35" s="1"/>
  <c r="AL195" i="35"/>
  <c r="AK195" i="35"/>
  <c r="AJ195" i="35"/>
  <c r="AI195" i="35"/>
  <c r="AH195" i="35"/>
  <c r="AG195" i="35"/>
  <c r="AF195" i="35"/>
  <c r="AE195" i="35"/>
  <c r="AD195" i="35"/>
  <c r="AW194" i="35"/>
  <c r="BH194" i="35" s="1"/>
  <c r="AV194" i="35"/>
  <c r="BG194" i="35" s="1"/>
  <c r="AU194" i="35"/>
  <c r="BF194" i="35" s="1"/>
  <c r="AT194" i="35"/>
  <c r="BE194" i="35" s="1"/>
  <c r="AS194" i="35"/>
  <c r="BD194" i="35" s="1"/>
  <c r="AR194" i="35"/>
  <c r="BC194" i="35" s="1"/>
  <c r="AQ194" i="35"/>
  <c r="BB194" i="35" s="1"/>
  <c r="AP194" i="35"/>
  <c r="BA194" i="35" s="1"/>
  <c r="AO194" i="35"/>
  <c r="AZ194" i="35" s="1"/>
  <c r="AL194" i="35"/>
  <c r="AK194" i="35"/>
  <c r="AJ194" i="35"/>
  <c r="AI194" i="35"/>
  <c r="AH194" i="35"/>
  <c r="AG194" i="35"/>
  <c r="AF194" i="35"/>
  <c r="AE194" i="35"/>
  <c r="AD194" i="35"/>
  <c r="AW193" i="35"/>
  <c r="BH193" i="35" s="1"/>
  <c r="AV193" i="35"/>
  <c r="BG193" i="35" s="1"/>
  <c r="AU193" i="35"/>
  <c r="BF193" i="35" s="1"/>
  <c r="AT193" i="35"/>
  <c r="BE193" i="35" s="1"/>
  <c r="AS193" i="35"/>
  <c r="BD193" i="35" s="1"/>
  <c r="AR193" i="35"/>
  <c r="BC193" i="35" s="1"/>
  <c r="AQ193" i="35"/>
  <c r="BB193" i="35" s="1"/>
  <c r="AP193" i="35"/>
  <c r="BA193" i="35" s="1"/>
  <c r="AO193" i="35"/>
  <c r="AZ193" i="35" s="1"/>
  <c r="AL193" i="35"/>
  <c r="AK193" i="35"/>
  <c r="AJ193" i="35"/>
  <c r="AI193" i="35"/>
  <c r="AH193" i="35"/>
  <c r="AG193" i="35"/>
  <c r="AF193" i="35"/>
  <c r="AE193" i="35"/>
  <c r="AD193" i="35"/>
  <c r="AW192" i="35"/>
  <c r="BH192" i="35" s="1"/>
  <c r="AV192" i="35"/>
  <c r="BG192" i="35" s="1"/>
  <c r="AU192" i="35"/>
  <c r="BF192" i="35" s="1"/>
  <c r="AT192" i="35"/>
  <c r="BE192" i="35" s="1"/>
  <c r="AS192" i="35"/>
  <c r="BD192" i="35" s="1"/>
  <c r="AR192" i="35"/>
  <c r="BC192" i="35" s="1"/>
  <c r="AQ192" i="35"/>
  <c r="BB192" i="35" s="1"/>
  <c r="AP192" i="35"/>
  <c r="BA192" i="35" s="1"/>
  <c r="AO192" i="35"/>
  <c r="AZ192" i="35" s="1"/>
  <c r="AL192" i="35"/>
  <c r="AK192" i="35"/>
  <c r="AJ192" i="35"/>
  <c r="AI192" i="35"/>
  <c r="AH192" i="35"/>
  <c r="AG192" i="35"/>
  <c r="AF192" i="35"/>
  <c r="AE192" i="35"/>
  <c r="AD192" i="35"/>
  <c r="AW191" i="35"/>
  <c r="BH191" i="35" s="1"/>
  <c r="AV191" i="35"/>
  <c r="BG191" i="35" s="1"/>
  <c r="AU191" i="35"/>
  <c r="BF191" i="35" s="1"/>
  <c r="AT191" i="35"/>
  <c r="BE191" i="35" s="1"/>
  <c r="AS191" i="35"/>
  <c r="BD191" i="35" s="1"/>
  <c r="AR191" i="35"/>
  <c r="BC191" i="35" s="1"/>
  <c r="AQ191" i="35"/>
  <c r="BB191" i="35" s="1"/>
  <c r="AP191" i="35"/>
  <c r="BA191" i="35" s="1"/>
  <c r="AO191" i="35"/>
  <c r="AZ191" i="35" s="1"/>
  <c r="AL191" i="35"/>
  <c r="AK191" i="35"/>
  <c r="AJ191" i="35"/>
  <c r="AI191" i="35"/>
  <c r="AH191" i="35"/>
  <c r="AG191" i="35"/>
  <c r="AF191" i="35"/>
  <c r="AE191" i="35"/>
  <c r="AD191" i="35"/>
  <c r="AW190" i="35"/>
  <c r="BH190" i="35" s="1"/>
  <c r="AV190" i="35"/>
  <c r="BG190" i="35" s="1"/>
  <c r="AU190" i="35"/>
  <c r="BF190" i="35" s="1"/>
  <c r="AT190" i="35"/>
  <c r="BE190" i="35" s="1"/>
  <c r="AS190" i="35"/>
  <c r="BD190" i="35" s="1"/>
  <c r="AR190" i="35"/>
  <c r="BC190" i="35" s="1"/>
  <c r="AQ190" i="35"/>
  <c r="BB190" i="35" s="1"/>
  <c r="AP190" i="35"/>
  <c r="BA190" i="35" s="1"/>
  <c r="AO190" i="35"/>
  <c r="AZ190" i="35" s="1"/>
  <c r="AL190" i="35"/>
  <c r="AK190" i="35"/>
  <c r="AJ190" i="35"/>
  <c r="AI190" i="35"/>
  <c r="AH190" i="35"/>
  <c r="AG190" i="35"/>
  <c r="AF190" i="35"/>
  <c r="AE190" i="35"/>
  <c r="AD190" i="35"/>
  <c r="AW189" i="35"/>
  <c r="BH189" i="35" s="1"/>
  <c r="AV189" i="35"/>
  <c r="BG189" i="35" s="1"/>
  <c r="AU189" i="35"/>
  <c r="BF189" i="35" s="1"/>
  <c r="AT189" i="35"/>
  <c r="BE189" i="35" s="1"/>
  <c r="AS189" i="35"/>
  <c r="BD189" i="35" s="1"/>
  <c r="AR189" i="35"/>
  <c r="BC189" i="35" s="1"/>
  <c r="AQ189" i="35"/>
  <c r="BB189" i="35" s="1"/>
  <c r="AP189" i="35"/>
  <c r="BA189" i="35" s="1"/>
  <c r="AO189" i="35"/>
  <c r="AZ189" i="35" s="1"/>
  <c r="AL189" i="35"/>
  <c r="AK189" i="35"/>
  <c r="AJ189" i="35"/>
  <c r="AI189" i="35"/>
  <c r="AH189" i="35"/>
  <c r="AG189" i="35"/>
  <c r="AF189" i="35"/>
  <c r="AE189" i="35"/>
  <c r="AD189" i="35"/>
  <c r="AW188" i="35"/>
  <c r="BH188" i="35" s="1"/>
  <c r="AV188" i="35"/>
  <c r="BG188" i="35" s="1"/>
  <c r="AU188" i="35"/>
  <c r="BF188" i="35" s="1"/>
  <c r="AT188" i="35"/>
  <c r="BE188" i="35" s="1"/>
  <c r="AS188" i="35"/>
  <c r="BD188" i="35" s="1"/>
  <c r="AR188" i="35"/>
  <c r="BC188" i="35" s="1"/>
  <c r="AQ188" i="35"/>
  <c r="BB188" i="35" s="1"/>
  <c r="AP188" i="35"/>
  <c r="BA188" i="35" s="1"/>
  <c r="AO188" i="35"/>
  <c r="AZ188" i="35" s="1"/>
  <c r="AL188" i="35"/>
  <c r="AK188" i="35"/>
  <c r="AJ188" i="35"/>
  <c r="AI188" i="35"/>
  <c r="AH188" i="35"/>
  <c r="AG188" i="35"/>
  <c r="AF188" i="35"/>
  <c r="AE188" i="35"/>
  <c r="AD188" i="35"/>
  <c r="BB187" i="35"/>
  <c r="AW187" i="35"/>
  <c r="BH187" i="35" s="1"/>
  <c r="AV187" i="35"/>
  <c r="BG187" i="35" s="1"/>
  <c r="AU187" i="35"/>
  <c r="BF187" i="35" s="1"/>
  <c r="AT187" i="35"/>
  <c r="BE187" i="35" s="1"/>
  <c r="AS187" i="35"/>
  <c r="BD187" i="35" s="1"/>
  <c r="AR187" i="35"/>
  <c r="BC187" i="35" s="1"/>
  <c r="AQ187" i="35"/>
  <c r="AP187" i="35"/>
  <c r="BA187" i="35" s="1"/>
  <c r="AO187" i="35"/>
  <c r="AZ187" i="35" s="1"/>
  <c r="AL187" i="35"/>
  <c r="AK187" i="35"/>
  <c r="AJ187" i="35"/>
  <c r="AI187" i="35"/>
  <c r="AH187" i="35"/>
  <c r="AG187" i="35"/>
  <c r="AF187" i="35"/>
  <c r="AE187" i="35"/>
  <c r="AD187" i="35"/>
  <c r="AW186" i="35"/>
  <c r="BH186" i="35" s="1"/>
  <c r="AV186" i="35"/>
  <c r="BG186" i="35" s="1"/>
  <c r="AU186" i="35"/>
  <c r="BF186" i="35" s="1"/>
  <c r="AT186" i="35"/>
  <c r="BE186" i="35" s="1"/>
  <c r="AS186" i="35"/>
  <c r="BD186" i="35" s="1"/>
  <c r="AR186" i="35"/>
  <c r="BC186" i="35" s="1"/>
  <c r="AQ186" i="35"/>
  <c r="BB186" i="35" s="1"/>
  <c r="AP186" i="35"/>
  <c r="BA186" i="35" s="1"/>
  <c r="AO186" i="35"/>
  <c r="AZ186" i="35" s="1"/>
  <c r="AL186" i="35"/>
  <c r="AK186" i="35"/>
  <c r="AJ186" i="35"/>
  <c r="AI186" i="35"/>
  <c r="AH186" i="35"/>
  <c r="AG186" i="35"/>
  <c r="AF186" i="35"/>
  <c r="AE186" i="35"/>
  <c r="AD186" i="35"/>
  <c r="AZ185" i="35"/>
  <c r="AW185" i="35"/>
  <c r="BH185" i="35" s="1"/>
  <c r="AV185" i="35"/>
  <c r="BG185" i="35" s="1"/>
  <c r="AU185" i="35"/>
  <c r="BF185" i="35" s="1"/>
  <c r="AT185" i="35"/>
  <c r="BE185" i="35" s="1"/>
  <c r="AS185" i="35"/>
  <c r="BD185" i="35" s="1"/>
  <c r="AR185" i="35"/>
  <c r="BC185" i="35" s="1"/>
  <c r="AQ185" i="35"/>
  <c r="BB185" i="35" s="1"/>
  <c r="AP185" i="35"/>
  <c r="BA185" i="35" s="1"/>
  <c r="AO185" i="35"/>
  <c r="AL185" i="35"/>
  <c r="AK185" i="35"/>
  <c r="AJ185" i="35"/>
  <c r="AI185" i="35"/>
  <c r="AH185" i="35"/>
  <c r="AG185" i="35"/>
  <c r="AF185" i="35"/>
  <c r="AE185" i="35"/>
  <c r="AD185" i="35"/>
  <c r="AW184" i="35"/>
  <c r="BH184" i="35" s="1"/>
  <c r="AV184" i="35"/>
  <c r="BG184" i="35" s="1"/>
  <c r="AU184" i="35"/>
  <c r="BF184" i="35" s="1"/>
  <c r="AT184" i="35"/>
  <c r="BE184" i="35" s="1"/>
  <c r="AS184" i="35"/>
  <c r="BD184" i="35" s="1"/>
  <c r="AR184" i="35"/>
  <c r="BC184" i="35" s="1"/>
  <c r="AQ184" i="35"/>
  <c r="BB184" i="35" s="1"/>
  <c r="AP184" i="35"/>
  <c r="BA184" i="35" s="1"/>
  <c r="AO184" i="35"/>
  <c r="AZ184" i="35" s="1"/>
  <c r="AL184" i="35"/>
  <c r="AK184" i="35"/>
  <c r="AJ184" i="35"/>
  <c r="AI184" i="35"/>
  <c r="AH184" i="35"/>
  <c r="AG184" i="35"/>
  <c r="AF184" i="35"/>
  <c r="AE184" i="35"/>
  <c r="AD184" i="35"/>
  <c r="BH183" i="35"/>
  <c r="AW183" i="35"/>
  <c r="AV183" i="35"/>
  <c r="BG183" i="35" s="1"/>
  <c r="AU183" i="35"/>
  <c r="BF183" i="35" s="1"/>
  <c r="AT183" i="35"/>
  <c r="BE183" i="35" s="1"/>
  <c r="AS183" i="35"/>
  <c r="BD183" i="35" s="1"/>
  <c r="AR183" i="35"/>
  <c r="BC183" i="35" s="1"/>
  <c r="AQ183" i="35"/>
  <c r="BB183" i="35" s="1"/>
  <c r="AP183" i="35"/>
  <c r="BA183" i="35" s="1"/>
  <c r="AO183" i="35"/>
  <c r="AZ183" i="35" s="1"/>
  <c r="AL183" i="35"/>
  <c r="AK183" i="35"/>
  <c r="AJ183" i="35"/>
  <c r="AI183" i="35"/>
  <c r="AH183" i="35"/>
  <c r="AG183" i="35"/>
  <c r="AF183" i="35"/>
  <c r="AE183" i="35"/>
  <c r="AD183" i="35"/>
  <c r="AW182" i="35"/>
  <c r="BH182" i="35" s="1"/>
  <c r="AV182" i="35"/>
  <c r="BG182" i="35" s="1"/>
  <c r="AU182" i="35"/>
  <c r="BF182" i="35" s="1"/>
  <c r="AT182" i="35"/>
  <c r="BE182" i="35" s="1"/>
  <c r="AS182" i="35"/>
  <c r="BD182" i="35" s="1"/>
  <c r="AR182" i="35"/>
  <c r="BC182" i="35" s="1"/>
  <c r="AQ182" i="35"/>
  <c r="BB182" i="35" s="1"/>
  <c r="AP182" i="35"/>
  <c r="BA182" i="35" s="1"/>
  <c r="AO182" i="35"/>
  <c r="AZ182" i="35" s="1"/>
  <c r="AL182" i="35"/>
  <c r="AK182" i="35"/>
  <c r="AJ182" i="35"/>
  <c r="AI182" i="35"/>
  <c r="AH182" i="35"/>
  <c r="AG182" i="35"/>
  <c r="AF182" i="35"/>
  <c r="AE182" i="35"/>
  <c r="AD182" i="35"/>
  <c r="BH181" i="35"/>
  <c r="AW181" i="35"/>
  <c r="AV181" i="35"/>
  <c r="BG181" i="35" s="1"/>
  <c r="AU181" i="35"/>
  <c r="BF181" i="35" s="1"/>
  <c r="AT181" i="35"/>
  <c r="BE181" i="35" s="1"/>
  <c r="AS181" i="35"/>
  <c r="BD181" i="35" s="1"/>
  <c r="AR181" i="35"/>
  <c r="BC181" i="35" s="1"/>
  <c r="AQ181" i="35"/>
  <c r="BB181" i="35" s="1"/>
  <c r="AP181" i="35"/>
  <c r="BA181" i="35" s="1"/>
  <c r="AO181" i="35"/>
  <c r="AZ181" i="35" s="1"/>
  <c r="AL181" i="35"/>
  <c r="AK181" i="35"/>
  <c r="AJ181" i="35"/>
  <c r="AI181" i="35"/>
  <c r="AH181" i="35"/>
  <c r="AG181" i="35"/>
  <c r="AF181" i="35"/>
  <c r="AE181" i="35"/>
  <c r="AD181" i="35"/>
  <c r="AW180" i="35"/>
  <c r="BH180" i="35" s="1"/>
  <c r="AV180" i="35"/>
  <c r="BG180" i="35" s="1"/>
  <c r="AU180" i="35"/>
  <c r="BF180" i="35" s="1"/>
  <c r="AT180" i="35"/>
  <c r="BE180" i="35" s="1"/>
  <c r="AS180" i="35"/>
  <c r="BD180" i="35" s="1"/>
  <c r="AR180" i="35"/>
  <c r="BC180" i="35" s="1"/>
  <c r="AQ180" i="35"/>
  <c r="BB180" i="35" s="1"/>
  <c r="AP180" i="35"/>
  <c r="BA180" i="35" s="1"/>
  <c r="AO180" i="35"/>
  <c r="AZ180" i="35" s="1"/>
  <c r="AL180" i="35"/>
  <c r="AK180" i="35"/>
  <c r="AJ180" i="35"/>
  <c r="AI180" i="35"/>
  <c r="AH180" i="35"/>
  <c r="AG180" i="35"/>
  <c r="AF180" i="35"/>
  <c r="AE180" i="35"/>
  <c r="AD180" i="35"/>
  <c r="AW179" i="35"/>
  <c r="BH179" i="35" s="1"/>
  <c r="AV179" i="35"/>
  <c r="BG179" i="35" s="1"/>
  <c r="AU179" i="35"/>
  <c r="BF179" i="35" s="1"/>
  <c r="AT179" i="35"/>
  <c r="BE179" i="35" s="1"/>
  <c r="AS179" i="35"/>
  <c r="BD179" i="35" s="1"/>
  <c r="AR179" i="35"/>
  <c r="BC179" i="35" s="1"/>
  <c r="AQ179" i="35"/>
  <c r="BB179" i="35" s="1"/>
  <c r="AP179" i="35"/>
  <c r="BA179" i="35" s="1"/>
  <c r="AO179" i="35"/>
  <c r="AZ179" i="35" s="1"/>
  <c r="AL179" i="35"/>
  <c r="AK179" i="35"/>
  <c r="AJ179" i="35"/>
  <c r="AI179" i="35"/>
  <c r="AH179" i="35"/>
  <c r="AG179" i="35"/>
  <c r="AF179" i="35"/>
  <c r="AE179" i="35"/>
  <c r="AD179" i="35"/>
  <c r="BF178" i="35"/>
  <c r="AW178" i="35"/>
  <c r="BH178" i="35" s="1"/>
  <c r="AV178" i="35"/>
  <c r="BG178" i="35" s="1"/>
  <c r="AU178" i="35"/>
  <c r="AT178" i="35"/>
  <c r="BE178" i="35" s="1"/>
  <c r="AS178" i="35"/>
  <c r="BD178" i="35" s="1"/>
  <c r="AR178" i="35"/>
  <c r="BC178" i="35" s="1"/>
  <c r="AQ178" i="35"/>
  <c r="BB178" i="35" s="1"/>
  <c r="AP178" i="35"/>
  <c r="BA178" i="35" s="1"/>
  <c r="AO178" i="35"/>
  <c r="AZ178" i="35" s="1"/>
  <c r="AL178" i="35"/>
  <c r="AK178" i="35"/>
  <c r="AJ178" i="35"/>
  <c r="AI178" i="35"/>
  <c r="AH178" i="35"/>
  <c r="AG178" i="35"/>
  <c r="AF178" i="35"/>
  <c r="AE178" i="35"/>
  <c r="AD178" i="35"/>
  <c r="AW177" i="35"/>
  <c r="BH177" i="35" s="1"/>
  <c r="AV177" i="35"/>
  <c r="BG177" i="35" s="1"/>
  <c r="AU177" i="35"/>
  <c r="BF177" i="35" s="1"/>
  <c r="AT177" i="35"/>
  <c r="BE177" i="35" s="1"/>
  <c r="AS177" i="35"/>
  <c r="BD177" i="35" s="1"/>
  <c r="AR177" i="35"/>
  <c r="BC177" i="35" s="1"/>
  <c r="AQ177" i="35"/>
  <c r="BB177" i="35" s="1"/>
  <c r="AP177" i="35"/>
  <c r="BA177" i="35" s="1"/>
  <c r="AO177" i="35"/>
  <c r="AZ177" i="35" s="1"/>
  <c r="AL177" i="35"/>
  <c r="AK177" i="35"/>
  <c r="AJ177" i="35"/>
  <c r="AI177" i="35"/>
  <c r="AH177" i="35"/>
  <c r="AG177" i="35"/>
  <c r="AF177" i="35"/>
  <c r="AE177" i="35"/>
  <c r="AD177" i="35"/>
  <c r="AW176" i="35"/>
  <c r="BH176" i="35" s="1"/>
  <c r="AV176" i="35"/>
  <c r="BG176" i="35" s="1"/>
  <c r="AU176" i="35"/>
  <c r="BF176" i="35" s="1"/>
  <c r="AT176" i="35"/>
  <c r="BE176" i="35" s="1"/>
  <c r="AS176" i="35"/>
  <c r="BD176" i="35" s="1"/>
  <c r="AR176" i="35"/>
  <c r="BC176" i="35" s="1"/>
  <c r="AQ176" i="35"/>
  <c r="BB176" i="35" s="1"/>
  <c r="AP176" i="35"/>
  <c r="BA176" i="35" s="1"/>
  <c r="AO176" i="35"/>
  <c r="AZ176" i="35" s="1"/>
  <c r="AL176" i="35"/>
  <c r="AK176" i="35"/>
  <c r="AJ176" i="35"/>
  <c r="AI176" i="35"/>
  <c r="AH176" i="35"/>
  <c r="AG176" i="35"/>
  <c r="AF176" i="35"/>
  <c r="AE176" i="35"/>
  <c r="AD176" i="35"/>
  <c r="BC175" i="35"/>
  <c r="AW175" i="35"/>
  <c r="BH175" i="35" s="1"/>
  <c r="AV175" i="35"/>
  <c r="BG175" i="35" s="1"/>
  <c r="AU175" i="35"/>
  <c r="BF175" i="35" s="1"/>
  <c r="AT175" i="35"/>
  <c r="BE175" i="35" s="1"/>
  <c r="AS175" i="35"/>
  <c r="BD175" i="35" s="1"/>
  <c r="AR175" i="35"/>
  <c r="AQ175" i="35"/>
  <c r="BB175" i="35" s="1"/>
  <c r="AP175" i="35"/>
  <c r="BA175" i="35" s="1"/>
  <c r="AO175" i="35"/>
  <c r="AZ175" i="35" s="1"/>
  <c r="AL175" i="35"/>
  <c r="AK175" i="35"/>
  <c r="AJ175" i="35"/>
  <c r="AI175" i="35"/>
  <c r="AH175" i="35"/>
  <c r="AG175" i="35"/>
  <c r="AF175" i="35"/>
  <c r="AE175" i="35"/>
  <c r="AD175" i="35"/>
  <c r="AW174" i="35"/>
  <c r="BH174" i="35" s="1"/>
  <c r="AV174" i="35"/>
  <c r="BG174" i="35" s="1"/>
  <c r="AU174" i="35"/>
  <c r="BF174" i="35" s="1"/>
  <c r="AT174" i="35"/>
  <c r="BE174" i="35" s="1"/>
  <c r="AS174" i="35"/>
  <c r="BD174" i="35" s="1"/>
  <c r="AR174" i="35"/>
  <c r="BC174" i="35" s="1"/>
  <c r="AQ174" i="35"/>
  <c r="BB174" i="35" s="1"/>
  <c r="AP174" i="35"/>
  <c r="BA174" i="35" s="1"/>
  <c r="AO174" i="35"/>
  <c r="AZ174" i="35" s="1"/>
  <c r="AL174" i="35"/>
  <c r="AK174" i="35"/>
  <c r="AJ174" i="35"/>
  <c r="AI174" i="35"/>
  <c r="AH174" i="35"/>
  <c r="AG174" i="35"/>
  <c r="AF174" i="35"/>
  <c r="AE174" i="35"/>
  <c r="AD174" i="35"/>
  <c r="AW173" i="35"/>
  <c r="BH173" i="35" s="1"/>
  <c r="AV173" i="35"/>
  <c r="BG173" i="35" s="1"/>
  <c r="AU173" i="35"/>
  <c r="BF173" i="35" s="1"/>
  <c r="AT173" i="35"/>
  <c r="BE173" i="35" s="1"/>
  <c r="AS173" i="35"/>
  <c r="BD173" i="35" s="1"/>
  <c r="AR173" i="35"/>
  <c r="BC173" i="35" s="1"/>
  <c r="AQ173" i="35"/>
  <c r="BB173" i="35" s="1"/>
  <c r="AP173" i="35"/>
  <c r="BA173" i="35" s="1"/>
  <c r="AO173" i="35"/>
  <c r="AZ173" i="35" s="1"/>
  <c r="AL173" i="35"/>
  <c r="AK173" i="35"/>
  <c r="AJ173" i="35"/>
  <c r="AI173" i="35"/>
  <c r="AH173" i="35"/>
  <c r="AG173" i="35"/>
  <c r="AF173" i="35"/>
  <c r="AE173" i="35"/>
  <c r="AD173" i="35"/>
  <c r="AW172" i="35"/>
  <c r="BH172" i="35" s="1"/>
  <c r="AV172" i="35"/>
  <c r="BG172" i="35" s="1"/>
  <c r="AU172" i="35"/>
  <c r="BF172" i="35" s="1"/>
  <c r="AT172" i="35"/>
  <c r="BE172" i="35" s="1"/>
  <c r="AS172" i="35"/>
  <c r="BD172" i="35" s="1"/>
  <c r="AR172" i="35"/>
  <c r="BC172" i="35" s="1"/>
  <c r="AQ172" i="35"/>
  <c r="BB172" i="35" s="1"/>
  <c r="AP172" i="35"/>
  <c r="BA172" i="35" s="1"/>
  <c r="AO172" i="35"/>
  <c r="AZ172" i="35" s="1"/>
  <c r="AL172" i="35"/>
  <c r="AK172" i="35"/>
  <c r="AJ172" i="35"/>
  <c r="AI172" i="35"/>
  <c r="AH172" i="35"/>
  <c r="AG172" i="35"/>
  <c r="AF172" i="35"/>
  <c r="AE172" i="35"/>
  <c r="AD172" i="35"/>
  <c r="AW171" i="35"/>
  <c r="BH171" i="35" s="1"/>
  <c r="AV171" i="35"/>
  <c r="BG171" i="35" s="1"/>
  <c r="AU171" i="35"/>
  <c r="BF171" i="35" s="1"/>
  <c r="AT171" i="35"/>
  <c r="BE171" i="35" s="1"/>
  <c r="AS171" i="35"/>
  <c r="BD171" i="35" s="1"/>
  <c r="AR171" i="35"/>
  <c r="BC171" i="35" s="1"/>
  <c r="AQ171" i="35"/>
  <c r="BB171" i="35" s="1"/>
  <c r="AP171" i="35"/>
  <c r="BA171" i="35" s="1"/>
  <c r="AO171" i="35"/>
  <c r="AZ171" i="35" s="1"/>
  <c r="AL171" i="35"/>
  <c r="AK171" i="35"/>
  <c r="AJ171" i="35"/>
  <c r="AI171" i="35"/>
  <c r="AH171" i="35"/>
  <c r="AG171" i="35"/>
  <c r="AF171" i="35"/>
  <c r="AE171" i="35"/>
  <c r="AD171" i="35"/>
  <c r="AW170" i="35"/>
  <c r="BH170" i="35" s="1"/>
  <c r="AV170" i="35"/>
  <c r="BG170" i="35" s="1"/>
  <c r="AU170" i="35"/>
  <c r="BF170" i="35" s="1"/>
  <c r="AT170" i="35"/>
  <c r="BE170" i="35" s="1"/>
  <c r="AS170" i="35"/>
  <c r="BD170" i="35" s="1"/>
  <c r="AR170" i="35"/>
  <c r="BC170" i="35" s="1"/>
  <c r="AQ170" i="35"/>
  <c r="BB170" i="35" s="1"/>
  <c r="AP170" i="35"/>
  <c r="BA170" i="35" s="1"/>
  <c r="AO170" i="35"/>
  <c r="AZ170" i="35" s="1"/>
  <c r="AL170" i="35"/>
  <c r="AK170" i="35"/>
  <c r="AJ170" i="35"/>
  <c r="AI170" i="35"/>
  <c r="AH170" i="35"/>
  <c r="AG170" i="35"/>
  <c r="AF170" i="35"/>
  <c r="AE170" i="35"/>
  <c r="AD170" i="35"/>
  <c r="AW169" i="35"/>
  <c r="BH169" i="35" s="1"/>
  <c r="AV169" i="35"/>
  <c r="BG169" i="35" s="1"/>
  <c r="AU169" i="35"/>
  <c r="BF169" i="35" s="1"/>
  <c r="AT169" i="35"/>
  <c r="BE169" i="35" s="1"/>
  <c r="AS169" i="35"/>
  <c r="BD169" i="35" s="1"/>
  <c r="AR169" i="35"/>
  <c r="BC169" i="35" s="1"/>
  <c r="AQ169" i="35"/>
  <c r="BB169" i="35" s="1"/>
  <c r="AP169" i="35"/>
  <c r="BA169" i="35" s="1"/>
  <c r="AO169" i="35"/>
  <c r="AZ169" i="35" s="1"/>
  <c r="AL169" i="35"/>
  <c r="AK169" i="35"/>
  <c r="AJ169" i="35"/>
  <c r="AI169" i="35"/>
  <c r="AH169" i="35"/>
  <c r="AG169" i="35"/>
  <c r="AF169" i="35"/>
  <c r="AE169" i="35"/>
  <c r="AD169" i="35"/>
  <c r="BG168" i="35"/>
  <c r="AW168" i="35"/>
  <c r="BH168" i="35" s="1"/>
  <c r="AV168" i="35"/>
  <c r="AU168" i="35"/>
  <c r="BF168" i="35" s="1"/>
  <c r="AT168" i="35"/>
  <c r="BE168" i="35" s="1"/>
  <c r="AS168" i="35"/>
  <c r="BD168" i="35" s="1"/>
  <c r="AR168" i="35"/>
  <c r="BC168" i="35" s="1"/>
  <c r="AQ168" i="35"/>
  <c r="BB168" i="35" s="1"/>
  <c r="AP168" i="35"/>
  <c r="BA168" i="35" s="1"/>
  <c r="AO168" i="35"/>
  <c r="AZ168" i="35" s="1"/>
  <c r="AL168" i="35"/>
  <c r="AK168" i="35"/>
  <c r="AJ168" i="35"/>
  <c r="AI168" i="35"/>
  <c r="AH168" i="35"/>
  <c r="AG168" i="35"/>
  <c r="AF168" i="35"/>
  <c r="AE168" i="35"/>
  <c r="AD168" i="35"/>
  <c r="BB167" i="35"/>
  <c r="AW167" i="35"/>
  <c r="BH167" i="35" s="1"/>
  <c r="AV167" i="35"/>
  <c r="BG167" i="35" s="1"/>
  <c r="AU167" i="35"/>
  <c r="BF167" i="35" s="1"/>
  <c r="AT167" i="35"/>
  <c r="BE167" i="35" s="1"/>
  <c r="AS167" i="35"/>
  <c r="BD167" i="35" s="1"/>
  <c r="AR167" i="35"/>
  <c r="BC167" i="35" s="1"/>
  <c r="AQ167" i="35"/>
  <c r="AP167" i="35"/>
  <c r="BA167" i="35" s="1"/>
  <c r="AO167" i="35"/>
  <c r="AZ167" i="35" s="1"/>
  <c r="AL167" i="35"/>
  <c r="AK167" i="35"/>
  <c r="AJ167" i="35"/>
  <c r="AI167" i="35"/>
  <c r="AH167" i="35"/>
  <c r="AG167" i="35"/>
  <c r="AF167" i="35"/>
  <c r="AE167" i="35"/>
  <c r="AD167" i="35"/>
  <c r="BH166" i="35"/>
  <c r="AW166" i="35"/>
  <c r="AV166" i="35"/>
  <c r="BG166" i="35" s="1"/>
  <c r="AU166" i="35"/>
  <c r="BF166" i="35" s="1"/>
  <c r="AT166" i="35"/>
  <c r="BE166" i="35" s="1"/>
  <c r="AS166" i="35"/>
  <c r="BD166" i="35" s="1"/>
  <c r="AR166" i="35"/>
  <c r="BC166" i="35" s="1"/>
  <c r="AQ166" i="35"/>
  <c r="BB166" i="35" s="1"/>
  <c r="AP166" i="35"/>
  <c r="BA166" i="35" s="1"/>
  <c r="AO166" i="35"/>
  <c r="AZ166" i="35" s="1"/>
  <c r="AL166" i="35"/>
  <c r="AK166" i="35"/>
  <c r="AJ166" i="35"/>
  <c r="AI166" i="35"/>
  <c r="AH166" i="35"/>
  <c r="AG166" i="35"/>
  <c r="AF166" i="35"/>
  <c r="AE166" i="35"/>
  <c r="AD166" i="35"/>
  <c r="AW165" i="35"/>
  <c r="BH165" i="35" s="1"/>
  <c r="AV165" i="35"/>
  <c r="BG165" i="35" s="1"/>
  <c r="AU165" i="35"/>
  <c r="BF165" i="35" s="1"/>
  <c r="AT165" i="35"/>
  <c r="BE165" i="35" s="1"/>
  <c r="AS165" i="35"/>
  <c r="BD165" i="35" s="1"/>
  <c r="AR165" i="35"/>
  <c r="BC165" i="35" s="1"/>
  <c r="AQ165" i="35"/>
  <c r="BB165" i="35" s="1"/>
  <c r="AP165" i="35"/>
  <c r="BA165" i="35" s="1"/>
  <c r="AO165" i="35"/>
  <c r="AZ165" i="35" s="1"/>
  <c r="AL165" i="35"/>
  <c r="AK165" i="35"/>
  <c r="AJ165" i="35"/>
  <c r="AI165" i="35"/>
  <c r="AH165" i="35"/>
  <c r="AG165" i="35"/>
  <c r="AF165" i="35"/>
  <c r="AE165" i="35"/>
  <c r="AD165" i="35"/>
  <c r="AW164" i="35"/>
  <c r="BH164" i="35" s="1"/>
  <c r="AV164" i="35"/>
  <c r="BG164" i="35" s="1"/>
  <c r="AU164" i="35"/>
  <c r="BF164" i="35" s="1"/>
  <c r="AT164" i="35"/>
  <c r="BE164" i="35" s="1"/>
  <c r="AS164" i="35"/>
  <c r="BD164" i="35" s="1"/>
  <c r="AR164" i="35"/>
  <c r="BC164" i="35" s="1"/>
  <c r="AQ164" i="35"/>
  <c r="BB164" i="35" s="1"/>
  <c r="AP164" i="35"/>
  <c r="BA164" i="35" s="1"/>
  <c r="AO164" i="35"/>
  <c r="AZ164" i="35" s="1"/>
  <c r="AL164" i="35"/>
  <c r="AK164" i="35"/>
  <c r="AJ164" i="35"/>
  <c r="AI164" i="35"/>
  <c r="AH164" i="35"/>
  <c r="AG164" i="35"/>
  <c r="AF164" i="35"/>
  <c r="AE164" i="35"/>
  <c r="AD164" i="35"/>
  <c r="AW163" i="35"/>
  <c r="BH163" i="35" s="1"/>
  <c r="AV163" i="35"/>
  <c r="BG163" i="35" s="1"/>
  <c r="AU163" i="35"/>
  <c r="BF163" i="35" s="1"/>
  <c r="AT163" i="35"/>
  <c r="BE163" i="35" s="1"/>
  <c r="AS163" i="35"/>
  <c r="BD163" i="35" s="1"/>
  <c r="AR163" i="35"/>
  <c r="BC163" i="35" s="1"/>
  <c r="AQ163" i="35"/>
  <c r="BB163" i="35" s="1"/>
  <c r="AP163" i="35"/>
  <c r="BA163" i="35" s="1"/>
  <c r="AO163" i="35"/>
  <c r="AZ163" i="35" s="1"/>
  <c r="AL163" i="35"/>
  <c r="AK163" i="35"/>
  <c r="AJ163" i="35"/>
  <c r="AI163" i="35"/>
  <c r="AH163" i="35"/>
  <c r="AG163" i="35"/>
  <c r="AF163" i="35"/>
  <c r="AE163" i="35"/>
  <c r="AD163" i="35"/>
  <c r="AW162" i="35"/>
  <c r="BH162" i="35" s="1"/>
  <c r="AV162" i="35"/>
  <c r="BG162" i="35" s="1"/>
  <c r="AU162" i="35"/>
  <c r="BF162" i="35" s="1"/>
  <c r="AT162" i="35"/>
  <c r="BE162" i="35" s="1"/>
  <c r="AS162" i="35"/>
  <c r="BD162" i="35" s="1"/>
  <c r="AR162" i="35"/>
  <c r="BC162" i="35" s="1"/>
  <c r="AQ162" i="35"/>
  <c r="BB162" i="35" s="1"/>
  <c r="AP162" i="35"/>
  <c r="BA162" i="35" s="1"/>
  <c r="AO162" i="35"/>
  <c r="AZ162" i="35" s="1"/>
  <c r="AL162" i="35"/>
  <c r="AK162" i="35"/>
  <c r="AJ162" i="35"/>
  <c r="AI162" i="35"/>
  <c r="AH162" i="35"/>
  <c r="AG162" i="35"/>
  <c r="AF162" i="35"/>
  <c r="AE162" i="35"/>
  <c r="AD162" i="35"/>
  <c r="AW161" i="35"/>
  <c r="BH161" i="35" s="1"/>
  <c r="AV161" i="35"/>
  <c r="BG161" i="35" s="1"/>
  <c r="AU161" i="35"/>
  <c r="BF161" i="35" s="1"/>
  <c r="AT161" i="35"/>
  <c r="BE161" i="35" s="1"/>
  <c r="AS161" i="35"/>
  <c r="BD161" i="35" s="1"/>
  <c r="AR161" i="35"/>
  <c r="BC161" i="35" s="1"/>
  <c r="AQ161" i="35"/>
  <c r="BB161" i="35" s="1"/>
  <c r="AP161" i="35"/>
  <c r="BA161" i="35" s="1"/>
  <c r="AO161" i="35"/>
  <c r="AZ161" i="35" s="1"/>
  <c r="AL161" i="35"/>
  <c r="AK161" i="35"/>
  <c r="AJ161" i="35"/>
  <c r="AI161" i="35"/>
  <c r="AH161" i="35"/>
  <c r="AG161" i="35"/>
  <c r="AF161" i="35"/>
  <c r="AE161" i="35"/>
  <c r="AD161" i="35"/>
  <c r="AW160" i="35"/>
  <c r="BH160" i="35" s="1"/>
  <c r="AV160" i="35"/>
  <c r="BG160" i="35" s="1"/>
  <c r="AU160" i="35"/>
  <c r="BF160" i="35" s="1"/>
  <c r="AT160" i="35"/>
  <c r="BE160" i="35" s="1"/>
  <c r="AS160" i="35"/>
  <c r="BD160" i="35" s="1"/>
  <c r="AR160" i="35"/>
  <c r="BC160" i="35" s="1"/>
  <c r="AQ160" i="35"/>
  <c r="BB160" i="35" s="1"/>
  <c r="AP160" i="35"/>
  <c r="BA160" i="35" s="1"/>
  <c r="AO160" i="35"/>
  <c r="AZ160" i="35" s="1"/>
  <c r="AL160" i="35"/>
  <c r="AK160" i="35"/>
  <c r="AJ160" i="35"/>
  <c r="AI160" i="35"/>
  <c r="AH160" i="35"/>
  <c r="AG160" i="35"/>
  <c r="AF160" i="35"/>
  <c r="AE160" i="35"/>
  <c r="AD160" i="35"/>
  <c r="AW159" i="35"/>
  <c r="BH159" i="35" s="1"/>
  <c r="AV159" i="35"/>
  <c r="BG159" i="35" s="1"/>
  <c r="AU159" i="35"/>
  <c r="BF159" i="35" s="1"/>
  <c r="AT159" i="35"/>
  <c r="BE159" i="35" s="1"/>
  <c r="AS159" i="35"/>
  <c r="BD159" i="35" s="1"/>
  <c r="AR159" i="35"/>
  <c r="BC159" i="35" s="1"/>
  <c r="AQ159" i="35"/>
  <c r="BB159" i="35" s="1"/>
  <c r="AP159" i="35"/>
  <c r="BA159" i="35" s="1"/>
  <c r="AO159" i="35"/>
  <c r="AZ159" i="35" s="1"/>
  <c r="AL159" i="35"/>
  <c r="AK159" i="35"/>
  <c r="AJ159" i="35"/>
  <c r="AI159" i="35"/>
  <c r="AH159" i="35"/>
  <c r="AG159" i="35"/>
  <c r="AF159" i="35"/>
  <c r="AE159" i="35"/>
  <c r="AD159" i="35"/>
  <c r="AW158" i="35"/>
  <c r="BH158" i="35" s="1"/>
  <c r="AV158" i="35"/>
  <c r="BG158" i="35" s="1"/>
  <c r="AU158" i="35"/>
  <c r="BF158" i="35" s="1"/>
  <c r="AT158" i="35"/>
  <c r="BE158" i="35" s="1"/>
  <c r="AS158" i="35"/>
  <c r="BD158" i="35" s="1"/>
  <c r="AR158" i="35"/>
  <c r="BC158" i="35" s="1"/>
  <c r="AQ158" i="35"/>
  <c r="BB158" i="35" s="1"/>
  <c r="AP158" i="35"/>
  <c r="BA158" i="35" s="1"/>
  <c r="AO158" i="35"/>
  <c r="AZ158" i="35" s="1"/>
  <c r="AL158" i="35"/>
  <c r="AK158" i="35"/>
  <c r="AJ158" i="35"/>
  <c r="AI158" i="35"/>
  <c r="AH158" i="35"/>
  <c r="AG158" i="35"/>
  <c r="AF158" i="35"/>
  <c r="AE158" i="35"/>
  <c r="AD158" i="35"/>
  <c r="AW156" i="35"/>
  <c r="BH156" i="35" s="1"/>
  <c r="AV156" i="35"/>
  <c r="BG156" i="35" s="1"/>
  <c r="AU156" i="35"/>
  <c r="BF156" i="35" s="1"/>
  <c r="AT156" i="35"/>
  <c r="BE156" i="35" s="1"/>
  <c r="AS156" i="35"/>
  <c r="BD156" i="35" s="1"/>
  <c r="AR156" i="35"/>
  <c r="BC156" i="35" s="1"/>
  <c r="AQ156" i="35"/>
  <c r="BB156" i="35" s="1"/>
  <c r="AP156" i="35"/>
  <c r="BA156" i="35" s="1"/>
  <c r="AO156" i="35"/>
  <c r="AZ156" i="35" s="1"/>
  <c r="AL156" i="35"/>
  <c r="AK156" i="35"/>
  <c r="AJ156" i="35"/>
  <c r="AI156" i="35"/>
  <c r="AH156" i="35"/>
  <c r="AG156" i="35"/>
  <c r="AF156" i="35"/>
  <c r="AE156" i="35"/>
  <c r="AD156" i="35"/>
  <c r="AW155" i="35"/>
  <c r="BH155" i="35" s="1"/>
  <c r="AV155" i="35"/>
  <c r="BG155" i="35" s="1"/>
  <c r="AU155" i="35"/>
  <c r="BF155" i="35" s="1"/>
  <c r="AT155" i="35"/>
  <c r="BE155" i="35" s="1"/>
  <c r="AS155" i="35"/>
  <c r="BD155" i="35" s="1"/>
  <c r="AR155" i="35"/>
  <c r="BC155" i="35" s="1"/>
  <c r="AQ155" i="35"/>
  <c r="BB155" i="35" s="1"/>
  <c r="AP155" i="35"/>
  <c r="BA155" i="35" s="1"/>
  <c r="AO155" i="35"/>
  <c r="AZ155" i="35" s="1"/>
  <c r="AL155" i="35"/>
  <c r="AK155" i="35"/>
  <c r="AJ155" i="35"/>
  <c r="AI155" i="35"/>
  <c r="AH155" i="35"/>
  <c r="AG155" i="35"/>
  <c r="AF155" i="35"/>
  <c r="AE155" i="35"/>
  <c r="AD155" i="35"/>
  <c r="AW154" i="35"/>
  <c r="BH154" i="35" s="1"/>
  <c r="AV154" i="35"/>
  <c r="BG154" i="35" s="1"/>
  <c r="AU154" i="35"/>
  <c r="BF154" i="35" s="1"/>
  <c r="AT154" i="35"/>
  <c r="BE154" i="35" s="1"/>
  <c r="AS154" i="35"/>
  <c r="BD154" i="35" s="1"/>
  <c r="AR154" i="35"/>
  <c r="BC154" i="35" s="1"/>
  <c r="AQ154" i="35"/>
  <c r="BB154" i="35" s="1"/>
  <c r="AP154" i="35"/>
  <c r="BA154" i="35" s="1"/>
  <c r="AO154" i="35"/>
  <c r="AZ154" i="35" s="1"/>
  <c r="AL154" i="35"/>
  <c r="AK154" i="35"/>
  <c r="AJ154" i="35"/>
  <c r="AI154" i="35"/>
  <c r="AH154" i="35"/>
  <c r="AG154" i="35"/>
  <c r="AF154" i="35"/>
  <c r="AE154" i="35"/>
  <c r="AD154" i="35"/>
  <c r="AW153" i="35"/>
  <c r="BH153" i="35" s="1"/>
  <c r="AV153" i="35"/>
  <c r="BG153" i="35" s="1"/>
  <c r="AU153" i="35"/>
  <c r="BF153" i="35" s="1"/>
  <c r="AT153" i="35"/>
  <c r="BE153" i="35" s="1"/>
  <c r="AS153" i="35"/>
  <c r="BD153" i="35" s="1"/>
  <c r="AR153" i="35"/>
  <c r="BC153" i="35" s="1"/>
  <c r="AQ153" i="35"/>
  <c r="BB153" i="35" s="1"/>
  <c r="AP153" i="35"/>
  <c r="BA153" i="35" s="1"/>
  <c r="AO153" i="35"/>
  <c r="AZ153" i="35" s="1"/>
  <c r="AL153" i="35"/>
  <c r="AK153" i="35"/>
  <c r="AJ153" i="35"/>
  <c r="AI153" i="35"/>
  <c r="AH153" i="35"/>
  <c r="AG153" i="35"/>
  <c r="AF153" i="35"/>
  <c r="AE153" i="35"/>
  <c r="AD153" i="35"/>
  <c r="AW152" i="35"/>
  <c r="BH152" i="35" s="1"/>
  <c r="AV152" i="35"/>
  <c r="BG152" i="35" s="1"/>
  <c r="AU152" i="35"/>
  <c r="BF152" i="35" s="1"/>
  <c r="AT152" i="35"/>
  <c r="BE152" i="35" s="1"/>
  <c r="AS152" i="35"/>
  <c r="BD152" i="35" s="1"/>
  <c r="AR152" i="35"/>
  <c r="BC152" i="35" s="1"/>
  <c r="AQ152" i="35"/>
  <c r="BB152" i="35" s="1"/>
  <c r="AP152" i="35"/>
  <c r="BA152" i="35" s="1"/>
  <c r="AO152" i="35"/>
  <c r="AZ152" i="35" s="1"/>
  <c r="AL152" i="35"/>
  <c r="AK152" i="35"/>
  <c r="AJ152" i="35"/>
  <c r="AI152" i="35"/>
  <c r="AH152" i="35"/>
  <c r="AG152" i="35"/>
  <c r="AF152" i="35"/>
  <c r="AE152" i="35"/>
  <c r="AD152" i="35"/>
  <c r="AW151" i="35"/>
  <c r="BH151" i="35" s="1"/>
  <c r="AV151" i="35"/>
  <c r="BG151" i="35" s="1"/>
  <c r="AU151" i="35"/>
  <c r="BF151" i="35" s="1"/>
  <c r="AT151" i="35"/>
  <c r="BE151" i="35" s="1"/>
  <c r="AS151" i="35"/>
  <c r="BD151" i="35" s="1"/>
  <c r="AR151" i="35"/>
  <c r="BC151" i="35" s="1"/>
  <c r="AQ151" i="35"/>
  <c r="BB151" i="35" s="1"/>
  <c r="AP151" i="35"/>
  <c r="BA151" i="35" s="1"/>
  <c r="AO151" i="35"/>
  <c r="AZ151" i="35" s="1"/>
  <c r="AL151" i="35"/>
  <c r="AK151" i="35"/>
  <c r="AJ151" i="35"/>
  <c r="AI151" i="35"/>
  <c r="AH151" i="35"/>
  <c r="AG151" i="35"/>
  <c r="AF151" i="35"/>
  <c r="AE151" i="35"/>
  <c r="AD151" i="35"/>
  <c r="AW150" i="35"/>
  <c r="BH150" i="35" s="1"/>
  <c r="AV150" i="35"/>
  <c r="BG150" i="35" s="1"/>
  <c r="AU150" i="35"/>
  <c r="BF150" i="35" s="1"/>
  <c r="AT150" i="35"/>
  <c r="BE150" i="35" s="1"/>
  <c r="AS150" i="35"/>
  <c r="BD150" i="35" s="1"/>
  <c r="AR150" i="35"/>
  <c r="BC150" i="35" s="1"/>
  <c r="AQ150" i="35"/>
  <c r="BB150" i="35" s="1"/>
  <c r="AP150" i="35"/>
  <c r="BA150" i="35" s="1"/>
  <c r="AO150" i="35"/>
  <c r="AZ150" i="35" s="1"/>
  <c r="AL150" i="35"/>
  <c r="AK150" i="35"/>
  <c r="AJ150" i="35"/>
  <c r="AI150" i="35"/>
  <c r="AH150" i="35"/>
  <c r="AG150" i="35"/>
  <c r="AF150" i="35"/>
  <c r="AE150" i="35"/>
  <c r="AD150" i="35"/>
  <c r="BF149" i="35"/>
  <c r="AW149" i="35"/>
  <c r="BH149" i="35" s="1"/>
  <c r="AV149" i="35"/>
  <c r="BG149" i="35" s="1"/>
  <c r="AU149" i="35"/>
  <c r="AT149" i="35"/>
  <c r="BE149" i="35" s="1"/>
  <c r="AS149" i="35"/>
  <c r="BD149" i="35" s="1"/>
  <c r="AR149" i="35"/>
  <c r="BC149" i="35" s="1"/>
  <c r="AQ149" i="35"/>
  <c r="BB149" i="35" s="1"/>
  <c r="AP149" i="35"/>
  <c r="BA149" i="35" s="1"/>
  <c r="AO149" i="35"/>
  <c r="AZ149" i="35" s="1"/>
  <c r="AL149" i="35"/>
  <c r="AK149" i="35"/>
  <c r="AJ149" i="35"/>
  <c r="AI149" i="35"/>
  <c r="AH149" i="35"/>
  <c r="AG149" i="35"/>
  <c r="AF149" i="35"/>
  <c r="AE149" i="35"/>
  <c r="AD149" i="35"/>
  <c r="AW148" i="35"/>
  <c r="BH148" i="35" s="1"/>
  <c r="AV148" i="35"/>
  <c r="BG148" i="35" s="1"/>
  <c r="AU148" i="35"/>
  <c r="BF148" i="35" s="1"/>
  <c r="AT148" i="35"/>
  <c r="BE148" i="35" s="1"/>
  <c r="AS148" i="35"/>
  <c r="BD148" i="35" s="1"/>
  <c r="AR148" i="35"/>
  <c r="BC148" i="35" s="1"/>
  <c r="AQ148" i="35"/>
  <c r="BB148" i="35" s="1"/>
  <c r="AP148" i="35"/>
  <c r="BA148" i="35" s="1"/>
  <c r="AO148" i="35"/>
  <c r="AZ148" i="35" s="1"/>
  <c r="AL148" i="35"/>
  <c r="AK148" i="35"/>
  <c r="AJ148" i="35"/>
  <c r="AI148" i="35"/>
  <c r="AH148" i="35"/>
  <c r="AG148" i="35"/>
  <c r="AF148" i="35"/>
  <c r="AE148" i="35"/>
  <c r="AD148" i="35"/>
  <c r="BG147" i="35"/>
  <c r="AW147" i="35"/>
  <c r="BH147" i="35" s="1"/>
  <c r="AV147" i="35"/>
  <c r="AU147" i="35"/>
  <c r="BF147" i="35" s="1"/>
  <c r="AT147" i="35"/>
  <c r="BE147" i="35" s="1"/>
  <c r="AS147" i="35"/>
  <c r="BD147" i="35" s="1"/>
  <c r="AR147" i="35"/>
  <c r="BC147" i="35" s="1"/>
  <c r="AQ147" i="35"/>
  <c r="BB147" i="35" s="1"/>
  <c r="AP147" i="35"/>
  <c r="BA147" i="35" s="1"/>
  <c r="AO147" i="35"/>
  <c r="AZ147" i="35" s="1"/>
  <c r="AL147" i="35"/>
  <c r="AK147" i="35"/>
  <c r="AJ147" i="35"/>
  <c r="AI147" i="35"/>
  <c r="AH147" i="35"/>
  <c r="AG147" i="35"/>
  <c r="AF147" i="35"/>
  <c r="AE147" i="35"/>
  <c r="AD147" i="35"/>
  <c r="AW146" i="35"/>
  <c r="BH146" i="35" s="1"/>
  <c r="AV146" i="35"/>
  <c r="BG146" i="35" s="1"/>
  <c r="AU146" i="35"/>
  <c r="BF146" i="35" s="1"/>
  <c r="AT146" i="35"/>
  <c r="BE146" i="35" s="1"/>
  <c r="AS146" i="35"/>
  <c r="BD146" i="35" s="1"/>
  <c r="AR146" i="35"/>
  <c r="BC146" i="35" s="1"/>
  <c r="AQ146" i="35"/>
  <c r="BB146" i="35" s="1"/>
  <c r="AP146" i="35"/>
  <c r="BA146" i="35" s="1"/>
  <c r="AO146" i="35"/>
  <c r="AZ146" i="35" s="1"/>
  <c r="AL146" i="35"/>
  <c r="AK146" i="35"/>
  <c r="AJ146" i="35"/>
  <c r="AI146" i="35"/>
  <c r="AH146" i="35"/>
  <c r="AG146" i="35"/>
  <c r="AF146" i="35"/>
  <c r="AE146" i="35"/>
  <c r="AD146" i="35"/>
  <c r="AW145" i="35"/>
  <c r="BH145" i="35" s="1"/>
  <c r="AV145" i="35"/>
  <c r="BG145" i="35" s="1"/>
  <c r="AU145" i="35"/>
  <c r="BF145" i="35" s="1"/>
  <c r="AT145" i="35"/>
  <c r="BE145" i="35" s="1"/>
  <c r="AS145" i="35"/>
  <c r="BD145" i="35" s="1"/>
  <c r="AR145" i="35"/>
  <c r="BC145" i="35" s="1"/>
  <c r="AQ145" i="35"/>
  <c r="BB145" i="35" s="1"/>
  <c r="AP145" i="35"/>
  <c r="BA145" i="35" s="1"/>
  <c r="AO145" i="35"/>
  <c r="AZ145" i="35" s="1"/>
  <c r="AL145" i="35"/>
  <c r="AK145" i="35"/>
  <c r="AJ145" i="35"/>
  <c r="AI145" i="35"/>
  <c r="AH145" i="35"/>
  <c r="AG145" i="35"/>
  <c r="AF145" i="35"/>
  <c r="AE145" i="35"/>
  <c r="AD145" i="35"/>
  <c r="AW144" i="35"/>
  <c r="BH144" i="35" s="1"/>
  <c r="AV144" i="35"/>
  <c r="BG144" i="35" s="1"/>
  <c r="AU144" i="35"/>
  <c r="BF144" i="35" s="1"/>
  <c r="AT144" i="35"/>
  <c r="BE144" i="35" s="1"/>
  <c r="AS144" i="35"/>
  <c r="BD144" i="35" s="1"/>
  <c r="AR144" i="35"/>
  <c r="BC144" i="35" s="1"/>
  <c r="AQ144" i="35"/>
  <c r="BB144" i="35" s="1"/>
  <c r="AP144" i="35"/>
  <c r="BA144" i="35" s="1"/>
  <c r="AO144" i="35"/>
  <c r="AZ144" i="35" s="1"/>
  <c r="AL144" i="35"/>
  <c r="AK144" i="35"/>
  <c r="AJ144" i="35"/>
  <c r="AI144" i="35"/>
  <c r="AH144" i="35"/>
  <c r="AG144" i="35"/>
  <c r="AF144" i="35"/>
  <c r="AE144" i="35"/>
  <c r="AD144" i="35"/>
  <c r="AW143" i="35"/>
  <c r="BH143" i="35" s="1"/>
  <c r="AV143" i="35"/>
  <c r="BG143" i="35" s="1"/>
  <c r="AU143" i="35"/>
  <c r="BF143" i="35" s="1"/>
  <c r="AT143" i="35"/>
  <c r="BE143" i="35" s="1"/>
  <c r="AS143" i="35"/>
  <c r="BD143" i="35" s="1"/>
  <c r="AR143" i="35"/>
  <c r="BC143" i="35" s="1"/>
  <c r="AQ143" i="35"/>
  <c r="BB143" i="35" s="1"/>
  <c r="AP143" i="35"/>
  <c r="BA143" i="35" s="1"/>
  <c r="AO143" i="35"/>
  <c r="AZ143" i="35" s="1"/>
  <c r="AL143" i="35"/>
  <c r="AK143" i="35"/>
  <c r="AJ143" i="35"/>
  <c r="AI143" i="35"/>
  <c r="AH143" i="35"/>
  <c r="AG143" i="35"/>
  <c r="AF143" i="35"/>
  <c r="AE143" i="35"/>
  <c r="AD143" i="35"/>
  <c r="AW142" i="35"/>
  <c r="BH142" i="35" s="1"/>
  <c r="AV142" i="35"/>
  <c r="BG142" i="35" s="1"/>
  <c r="AU142" i="35"/>
  <c r="BF142" i="35" s="1"/>
  <c r="AT142" i="35"/>
  <c r="BE142" i="35" s="1"/>
  <c r="AS142" i="35"/>
  <c r="BD142" i="35" s="1"/>
  <c r="AR142" i="35"/>
  <c r="BC142" i="35" s="1"/>
  <c r="AQ142" i="35"/>
  <c r="BB142" i="35" s="1"/>
  <c r="AP142" i="35"/>
  <c r="BA142" i="35" s="1"/>
  <c r="AO142" i="35"/>
  <c r="AZ142" i="35" s="1"/>
  <c r="AL142" i="35"/>
  <c r="AK142" i="35"/>
  <c r="AJ142" i="35"/>
  <c r="AI142" i="35"/>
  <c r="AH142" i="35"/>
  <c r="AG142" i="35"/>
  <c r="AF142" i="35"/>
  <c r="AE142" i="35"/>
  <c r="AD142" i="35"/>
  <c r="AZ141" i="35"/>
  <c r="AW141" i="35"/>
  <c r="BH141" i="35" s="1"/>
  <c r="AV141" i="35"/>
  <c r="BG141" i="35" s="1"/>
  <c r="AU141" i="35"/>
  <c r="BF141" i="35" s="1"/>
  <c r="AT141" i="35"/>
  <c r="BE141" i="35" s="1"/>
  <c r="AS141" i="35"/>
  <c r="BD141" i="35" s="1"/>
  <c r="AR141" i="35"/>
  <c r="BC141" i="35" s="1"/>
  <c r="AQ141" i="35"/>
  <c r="BB141" i="35" s="1"/>
  <c r="AP141" i="35"/>
  <c r="BA141" i="35" s="1"/>
  <c r="AO141" i="35"/>
  <c r="AL141" i="35"/>
  <c r="AK141" i="35"/>
  <c r="AJ141" i="35"/>
  <c r="AI141" i="35"/>
  <c r="AH141" i="35"/>
  <c r="AG141" i="35"/>
  <c r="AF141" i="35"/>
  <c r="AE141" i="35"/>
  <c r="AD141" i="35"/>
  <c r="AW140" i="35"/>
  <c r="BH140" i="35" s="1"/>
  <c r="AV140" i="35"/>
  <c r="BG140" i="35" s="1"/>
  <c r="AU140" i="35"/>
  <c r="BF140" i="35" s="1"/>
  <c r="AT140" i="35"/>
  <c r="BE140" i="35" s="1"/>
  <c r="AS140" i="35"/>
  <c r="BD140" i="35" s="1"/>
  <c r="AR140" i="35"/>
  <c r="BC140" i="35" s="1"/>
  <c r="AQ140" i="35"/>
  <c r="BB140" i="35" s="1"/>
  <c r="AP140" i="35"/>
  <c r="BA140" i="35" s="1"/>
  <c r="AO140" i="35"/>
  <c r="AZ140" i="35" s="1"/>
  <c r="AL140" i="35"/>
  <c r="AK140" i="35"/>
  <c r="AJ140" i="35"/>
  <c r="AI140" i="35"/>
  <c r="AH140" i="35"/>
  <c r="AG140" i="35"/>
  <c r="AF140" i="35"/>
  <c r="AE140" i="35"/>
  <c r="AD140" i="35"/>
  <c r="AW139" i="35"/>
  <c r="BH139" i="35" s="1"/>
  <c r="AV139" i="35"/>
  <c r="BG139" i="35" s="1"/>
  <c r="AU139" i="35"/>
  <c r="BF139" i="35" s="1"/>
  <c r="AT139" i="35"/>
  <c r="BE139" i="35" s="1"/>
  <c r="AS139" i="35"/>
  <c r="BD139" i="35" s="1"/>
  <c r="AR139" i="35"/>
  <c r="BC139" i="35" s="1"/>
  <c r="AQ139" i="35"/>
  <c r="BB139" i="35" s="1"/>
  <c r="AP139" i="35"/>
  <c r="BA139" i="35" s="1"/>
  <c r="AO139" i="35"/>
  <c r="AZ139" i="35" s="1"/>
  <c r="AL139" i="35"/>
  <c r="AK139" i="35"/>
  <c r="AJ139" i="35"/>
  <c r="AI139" i="35"/>
  <c r="AH139" i="35"/>
  <c r="AG139" i="35"/>
  <c r="AF139" i="35"/>
  <c r="AE139" i="35"/>
  <c r="AD139" i="35"/>
  <c r="AW138" i="35"/>
  <c r="BH138" i="35" s="1"/>
  <c r="AV138" i="35"/>
  <c r="BG138" i="35" s="1"/>
  <c r="AU138" i="35"/>
  <c r="BF138" i="35" s="1"/>
  <c r="AT138" i="35"/>
  <c r="BE138" i="35" s="1"/>
  <c r="AS138" i="35"/>
  <c r="BD138" i="35" s="1"/>
  <c r="AR138" i="35"/>
  <c r="BC138" i="35" s="1"/>
  <c r="AQ138" i="35"/>
  <c r="BB138" i="35" s="1"/>
  <c r="AP138" i="35"/>
  <c r="BA138" i="35" s="1"/>
  <c r="AO138" i="35"/>
  <c r="AZ138" i="35" s="1"/>
  <c r="AL138" i="35"/>
  <c r="AK138" i="35"/>
  <c r="AJ138" i="35"/>
  <c r="AI138" i="35"/>
  <c r="AH138" i="35"/>
  <c r="AG138" i="35"/>
  <c r="AF138" i="35"/>
  <c r="AE138" i="35"/>
  <c r="AD138" i="35"/>
  <c r="AW137" i="35"/>
  <c r="BH137" i="35" s="1"/>
  <c r="AV137" i="35"/>
  <c r="BG137" i="35" s="1"/>
  <c r="AU137" i="35"/>
  <c r="BF137" i="35" s="1"/>
  <c r="AT137" i="35"/>
  <c r="BE137" i="35" s="1"/>
  <c r="AS137" i="35"/>
  <c r="BD137" i="35" s="1"/>
  <c r="AR137" i="35"/>
  <c r="BC137" i="35" s="1"/>
  <c r="AQ137" i="35"/>
  <c r="BB137" i="35" s="1"/>
  <c r="AP137" i="35"/>
  <c r="BA137" i="35" s="1"/>
  <c r="AO137" i="35"/>
  <c r="AZ137" i="35" s="1"/>
  <c r="AL137" i="35"/>
  <c r="AK137" i="35"/>
  <c r="AJ137" i="35"/>
  <c r="AI137" i="35"/>
  <c r="AH137" i="35"/>
  <c r="AG137" i="35"/>
  <c r="AF137" i="35"/>
  <c r="AE137" i="35"/>
  <c r="AD137" i="35"/>
  <c r="AW136" i="35"/>
  <c r="BH136" i="35" s="1"/>
  <c r="AV136" i="35"/>
  <c r="BG136" i="35" s="1"/>
  <c r="AU136" i="35"/>
  <c r="BF136" i="35" s="1"/>
  <c r="AT136" i="35"/>
  <c r="BE136" i="35" s="1"/>
  <c r="AS136" i="35"/>
  <c r="BD136" i="35" s="1"/>
  <c r="AR136" i="35"/>
  <c r="BC136" i="35" s="1"/>
  <c r="AQ136" i="35"/>
  <c r="BB136" i="35" s="1"/>
  <c r="AP136" i="35"/>
  <c r="BA136" i="35" s="1"/>
  <c r="AO136" i="35"/>
  <c r="AZ136" i="35" s="1"/>
  <c r="AL136" i="35"/>
  <c r="AK136" i="35"/>
  <c r="AJ136" i="35"/>
  <c r="AI136" i="35"/>
  <c r="AH136" i="35"/>
  <c r="AG136" i="35"/>
  <c r="AF136" i="35"/>
  <c r="AE136" i="35"/>
  <c r="AD136" i="35"/>
  <c r="AW135" i="35"/>
  <c r="BH135" i="35" s="1"/>
  <c r="AV135" i="35"/>
  <c r="BG135" i="35" s="1"/>
  <c r="AU135" i="35"/>
  <c r="BF135" i="35" s="1"/>
  <c r="AT135" i="35"/>
  <c r="BE135" i="35" s="1"/>
  <c r="AS135" i="35"/>
  <c r="BD135" i="35" s="1"/>
  <c r="AR135" i="35"/>
  <c r="BC135" i="35" s="1"/>
  <c r="AQ135" i="35"/>
  <c r="BB135" i="35" s="1"/>
  <c r="AP135" i="35"/>
  <c r="BA135" i="35" s="1"/>
  <c r="AO135" i="35"/>
  <c r="AZ135" i="35" s="1"/>
  <c r="AL135" i="35"/>
  <c r="AK135" i="35"/>
  <c r="AJ135" i="35"/>
  <c r="AI135" i="35"/>
  <c r="AH135" i="35"/>
  <c r="AG135" i="35"/>
  <c r="AF135" i="35"/>
  <c r="AE135" i="35"/>
  <c r="AD135" i="35"/>
  <c r="AW134" i="35"/>
  <c r="BH134" i="35" s="1"/>
  <c r="AV134" i="35"/>
  <c r="BG134" i="35" s="1"/>
  <c r="AU134" i="35"/>
  <c r="BF134" i="35" s="1"/>
  <c r="AT134" i="35"/>
  <c r="BE134" i="35" s="1"/>
  <c r="AS134" i="35"/>
  <c r="BD134" i="35" s="1"/>
  <c r="AR134" i="35"/>
  <c r="BC134" i="35" s="1"/>
  <c r="AQ134" i="35"/>
  <c r="BB134" i="35" s="1"/>
  <c r="AP134" i="35"/>
  <c r="BA134" i="35" s="1"/>
  <c r="AO134" i="35"/>
  <c r="AZ134" i="35" s="1"/>
  <c r="AL134" i="35"/>
  <c r="AK134" i="35"/>
  <c r="AJ134" i="35"/>
  <c r="AI134" i="35"/>
  <c r="AH134" i="35"/>
  <c r="AG134" i="35"/>
  <c r="AF134" i="35"/>
  <c r="AE134" i="35"/>
  <c r="AD134" i="35"/>
  <c r="AW133" i="35"/>
  <c r="BH133" i="35" s="1"/>
  <c r="AV133" i="35"/>
  <c r="BG133" i="35" s="1"/>
  <c r="AU133" i="35"/>
  <c r="BF133" i="35" s="1"/>
  <c r="AT133" i="35"/>
  <c r="BE133" i="35" s="1"/>
  <c r="AS133" i="35"/>
  <c r="BD133" i="35" s="1"/>
  <c r="AR133" i="35"/>
  <c r="BC133" i="35" s="1"/>
  <c r="AQ133" i="35"/>
  <c r="BB133" i="35" s="1"/>
  <c r="AP133" i="35"/>
  <c r="BA133" i="35" s="1"/>
  <c r="AO133" i="35"/>
  <c r="AZ133" i="35" s="1"/>
  <c r="AL133" i="35"/>
  <c r="AK133" i="35"/>
  <c r="AJ133" i="35"/>
  <c r="AI133" i="35"/>
  <c r="AH133" i="35"/>
  <c r="AG133" i="35"/>
  <c r="AF133" i="35"/>
  <c r="AE133" i="35"/>
  <c r="AD133" i="35"/>
  <c r="AW132" i="35"/>
  <c r="BH132" i="35" s="1"/>
  <c r="AV132" i="35"/>
  <c r="BG132" i="35" s="1"/>
  <c r="AU132" i="35"/>
  <c r="BF132" i="35" s="1"/>
  <c r="AT132" i="35"/>
  <c r="BE132" i="35" s="1"/>
  <c r="AS132" i="35"/>
  <c r="BD132" i="35" s="1"/>
  <c r="AR132" i="35"/>
  <c r="BC132" i="35" s="1"/>
  <c r="AQ132" i="35"/>
  <c r="BB132" i="35" s="1"/>
  <c r="AP132" i="35"/>
  <c r="BA132" i="35" s="1"/>
  <c r="AO132" i="35"/>
  <c r="AZ132" i="35" s="1"/>
  <c r="AL132" i="35"/>
  <c r="AK132" i="35"/>
  <c r="AJ132" i="35"/>
  <c r="AI132" i="35"/>
  <c r="AH132" i="35"/>
  <c r="AG132" i="35"/>
  <c r="AF132" i="35"/>
  <c r="AE132" i="35"/>
  <c r="AD132" i="35"/>
  <c r="AW131" i="35"/>
  <c r="BH131" i="35" s="1"/>
  <c r="AV131" i="35"/>
  <c r="BG131" i="35" s="1"/>
  <c r="AU131" i="35"/>
  <c r="BF131" i="35" s="1"/>
  <c r="AT131" i="35"/>
  <c r="BE131" i="35" s="1"/>
  <c r="AS131" i="35"/>
  <c r="BD131" i="35" s="1"/>
  <c r="AR131" i="35"/>
  <c r="BC131" i="35" s="1"/>
  <c r="AQ131" i="35"/>
  <c r="BB131" i="35" s="1"/>
  <c r="AP131" i="35"/>
  <c r="BA131" i="35" s="1"/>
  <c r="AO131" i="35"/>
  <c r="AZ131" i="35" s="1"/>
  <c r="AL131" i="35"/>
  <c r="AK131" i="35"/>
  <c r="AJ131" i="35"/>
  <c r="AI131" i="35"/>
  <c r="AH131" i="35"/>
  <c r="AG131" i="35"/>
  <c r="AF131" i="35"/>
  <c r="AE131" i="35"/>
  <c r="AD131" i="35"/>
  <c r="AW130" i="35"/>
  <c r="BH130" i="35" s="1"/>
  <c r="AV130" i="35"/>
  <c r="BG130" i="35" s="1"/>
  <c r="AU130" i="35"/>
  <c r="BF130" i="35" s="1"/>
  <c r="AT130" i="35"/>
  <c r="BE130" i="35" s="1"/>
  <c r="AS130" i="35"/>
  <c r="BD130" i="35" s="1"/>
  <c r="AR130" i="35"/>
  <c r="BC130" i="35" s="1"/>
  <c r="AQ130" i="35"/>
  <c r="BB130" i="35" s="1"/>
  <c r="AP130" i="35"/>
  <c r="BA130" i="35" s="1"/>
  <c r="AO130" i="35"/>
  <c r="AZ130" i="35" s="1"/>
  <c r="AL130" i="35"/>
  <c r="AK130" i="35"/>
  <c r="AJ130" i="35"/>
  <c r="AI130" i="35"/>
  <c r="AH130" i="35"/>
  <c r="AG130" i="35"/>
  <c r="AF130" i="35"/>
  <c r="AE130" i="35"/>
  <c r="AD130" i="35"/>
  <c r="AW129" i="35"/>
  <c r="BH129" i="35" s="1"/>
  <c r="AV129" i="35"/>
  <c r="BG129" i="35" s="1"/>
  <c r="AU129" i="35"/>
  <c r="BF129" i="35" s="1"/>
  <c r="AT129" i="35"/>
  <c r="BE129" i="35" s="1"/>
  <c r="AS129" i="35"/>
  <c r="BD129" i="35" s="1"/>
  <c r="AR129" i="35"/>
  <c r="BC129" i="35" s="1"/>
  <c r="AQ129" i="35"/>
  <c r="BB129" i="35" s="1"/>
  <c r="AP129" i="35"/>
  <c r="BA129" i="35" s="1"/>
  <c r="AO129" i="35"/>
  <c r="AZ129" i="35" s="1"/>
  <c r="AL129" i="35"/>
  <c r="AK129" i="35"/>
  <c r="AJ129" i="35"/>
  <c r="AI129" i="35"/>
  <c r="AH129" i="35"/>
  <c r="AG129" i="35"/>
  <c r="AF129" i="35"/>
  <c r="AE129" i="35"/>
  <c r="AD129" i="35"/>
  <c r="AW128" i="35"/>
  <c r="BH128" i="35" s="1"/>
  <c r="AV128" i="35"/>
  <c r="BG128" i="35" s="1"/>
  <c r="AU128" i="35"/>
  <c r="BF128" i="35" s="1"/>
  <c r="AT128" i="35"/>
  <c r="BE128" i="35" s="1"/>
  <c r="AS128" i="35"/>
  <c r="BD128" i="35" s="1"/>
  <c r="AR128" i="35"/>
  <c r="BC128" i="35" s="1"/>
  <c r="AQ128" i="35"/>
  <c r="BB128" i="35" s="1"/>
  <c r="AP128" i="35"/>
  <c r="BA128" i="35" s="1"/>
  <c r="AO128" i="35"/>
  <c r="AZ128" i="35" s="1"/>
  <c r="AL128" i="35"/>
  <c r="AK128" i="35"/>
  <c r="AJ128" i="35"/>
  <c r="AI128" i="35"/>
  <c r="AH128" i="35"/>
  <c r="AG128" i="35"/>
  <c r="AF128" i="35"/>
  <c r="AE128" i="35"/>
  <c r="AD128" i="35"/>
  <c r="BF127" i="35"/>
  <c r="AW127" i="35"/>
  <c r="BH127" i="35" s="1"/>
  <c r="AV127" i="35"/>
  <c r="BG127" i="35" s="1"/>
  <c r="AU127" i="35"/>
  <c r="AT127" i="35"/>
  <c r="BE127" i="35" s="1"/>
  <c r="AS127" i="35"/>
  <c r="BD127" i="35" s="1"/>
  <c r="AR127" i="35"/>
  <c r="BC127" i="35" s="1"/>
  <c r="AQ127" i="35"/>
  <c r="BB127" i="35" s="1"/>
  <c r="AP127" i="35"/>
  <c r="BA127" i="35" s="1"/>
  <c r="AO127" i="35"/>
  <c r="AZ127" i="35" s="1"/>
  <c r="AL127" i="35"/>
  <c r="AK127" i="35"/>
  <c r="AJ127" i="35"/>
  <c r="AI127" i="35"/>
  <c r="AH127" i="35"/>
  <c r="AG127" i="35"/>
  <c r="AF127" i="35"/>
  <c r="AE127" i="35"/>
  <c r="AD127" i="35"/>
  <c r="AW126" i="35"/>
  <c r="BH126" i="35" s="1"/>
  <c r="AV126" i="35"/>
  <c r="BG126" i="35" s="1"/>
  <c r="AU126" i="35"/>
  <c r="BF126" i="35" s="1"/>
  <c r="AT126" i="35"/>
  <c r="BE126" i="35" s="1"/>
  <c r="AS126" i="35"/>
  <c r="BD126" i="35" s="1"/>
  <c r="AR126" i="35"/>
  <c r="BC126" i="35" s="1"/>
  <c r="AQ126" i="35"/>
  <c r="BB126" i="35" s="1"/>
  <c r="AP126" i="35"/>
  <c r="BA126" i="35" s="1"/>
  <c r="AO126" i="35"/>
  <c r="AZ126" i="35" s="1"/>
  <c r="AL126" i="35"/>
  <c r="AK126" i="35"/>
  <c r="AJ126" i="35"/>
  <c r="AI126" i="35"/>
  <c r="AH126" i="35"/>
  <c r="AG126" i="35"/>
  <c r="AF126" i="35"/>
  <c r="AE126" i="35"/>
  <c r="AD126" i="35"/>
  <c r="AW125" i="35"/>
  <c r="BH125" i="35" s="1"/>
  <c r="AV125" i="35"/>
  <c r="BG125" i="35" s="1"/>
  <c r="AU125" i="35"/>
  <c r="BF125" i="35" s="1"/>
  <c r="AT125" i="35"/>
  <c r="BE125" i="35" s="1"/>
  <c r="AS125" i="35"/>
  <c r="BD125" i="35" s="1"/>
  <c r="AR125" i="35"/>
  <c r="BC125" i="35" s="1"/>
  <c r="AQ125" i="35"/>
  <c r="BB125" i="35" s="1"/>
  <c r="AP125" i="35"/>
  <c r="BA125" i="35" s="1"/>
  <c r="AO125" i="35"/>
  <c r="AZ125" i="35" s="1"/>
  <c r="AL125" i="35"/>
  <c r="AK125" i="35"/>
  <c r="AJ125" i="35"/>
  <c r="AI125" i="35"/>
  <c r="AH125" i="35"/>
  <c r="AG125" i="35"/>
  <c r="AF125" i="35"/>
  <c r="AE125" i="35"/>
  <c r="AD125" i="35"/>
  <c r="AW124" i="35"/>
  <c r="BH124" i="35" s="1"/>
  <c r="AV124" i="35"/>
  <c r="BG124" i="35" s="1"/>
  <c r="AU124" i="35"/>
  <c r="BF124" i="35" s="1"/>
  <c r="AT124" i="35"/>
  <c r="BE124" i="35" s="1"/>
  <c r="AS124" i="35"/>
  <c r="BD124" i="35" s="1"/>
  <c r="AR124" i="35"/>
  <c r="BC124" i="35" s="1"/>
  <c r="AQ124" i="35"/>
  <c r="BB124" i="35" s="1"/>
  <c r="AP124" i="35"/>
  <c r="BA124" i="35" s="1"/>
  <c r="AO124" i="35"/>
  <c r="AZ124" i="35" s="1"/>
  <c r="AL124" i="35"/>
  <c r="AK124" i="35"/>
  <c r="AJ124" i="35"/>
  <c r="AI124" i="35"/>
  <c r="AH124" i="35"/>
  <c r="AG124" i="35"/>
  <c r="AF124" i="35"/>
  <c r="AE124" i="35"/>
  <c r="AD124" i="35"/>
  <c r="BF123" i="35"/>
  <c r="AW123" i="35"/>
  <c r="BH123" i="35" s="1"/>
  <c r="AV123" i="35"/>
  <c r="BG123" i="35" s="1"/>
  <c r="AU123" i="35"/>
  <c r="AT123" i="35"/>
  <c r="BE123" i="35" s="1"/>
  <c r="AS123" i="35"/>
  <c r="BD123" i="35" s="1"/>
  <c r="AR123" i="35"/>
  <c r="BC123" i="35" s="1"/>
  <c r="AQ123" i="35"/>
  <c r="BB123" i="35" s="1"/>
  <c r="AP123" i="35"/>
  <c r="BA123" i="35" s="1"/>
  <c r="AO123" i="35"/>
  <c r="AZ123" i="35" s="1"/>
  <c r="AL123" i="35"/>
  <c r="AK123" i="35"/>
  <c r="AJ123" i="35"/>
  <c r="AI123" i="35"/>
  <c r="AH123" i="35"/>
  <c r="AG123" i="35"/>
  <c r="AF123" i="35"/>
  <c r="AE123" i="35"/>
  <c r="AD123" i="35"/>
  <c r="AW122" i="35"/>
  <c r="BH122" i="35" s="1"/>
  <c r="AV122" i="35"/>
  <c r="BG122" i="35" s="1"/>
  <c r="AU122" i="35"/>
  <c r="BF122" i="35" s="1"/>
  <c r="AT122" i="35"/>
  <c r="BE122" i="35" s="1"/>
  <c r="AS122" i="35"/>
  <c r="BD122" i="35" s="1"/>
  <c r="AR122" i="35"/>
  <c r="BC122" i="35" s="1"/>
  <c r="AQ122" i="35"/>
  <c r="BB122" i="35" s="1"/>
  <c r="AP122" i="35"/>
  <c r="BA122" i="35" s="1"/>
  <c r="AO122" i="35"/>
  <c r="AZ122" i="35" s="1"/>
  <c r="AL122" i="35"/>
  <c r="AK122" i="35"/>
  <c r="AJ122" i="35"/>
  <c r="AI122" i="35"/>
  <c r="AH122" i="35"/>
  <c r="AG122" i="35"/>
  <c r="AF122" i="35"/>
  <c r="AE122" i="35"/>
  <c r="AD122" i="35"/>
  <c r="AW121" i="35"/>
  <c r="BH121" i="35" s="1"/>
  <c r="AV121" i="35"/>
  <c r="BG121" i="35" s="1"/>
  <c r="AU121" i="35"/>
  <c r="BF121" i="35" s="1"/>
  <c r="AT121" i="35"/>
  <c r="BE121" i="35" s="1"/>
  <c r="AS121" i="35"/>
  <c r="BD121" i="35" s="1"/>
  <c r="AR121" i="35"/>
  <c r="BC121" i="35" s="1"/>
  <c r="AQ121" i="35"/>
  <c r="BB121" i="35" s="1"/>
  <c r="AP121" i="35"/>
  <c r="BA121" i="35" s="1"/>
  <c r="AO121" i="35"/>
  <c r="AZ121" i="35" s="1"/>
  <c r="AL121" i="35"/>
  <c r="AK121" i="35"/>
  <c r="AJ121" i="35"/>
  <c r="AI121" i="35"/>
  <c r="AH121" i="35"/>
  <c r="AG121" i="35"/>
  <c r="AF121" i="35"/>
  <c r="AE121" i="35"/>
  <c r="AD121" i="35"/>
  <c r="BH120" i="35"/>
  <c r="AW120" i="35"/>
  <c r="AV120" i="35"/>
  <c r="BG120" i="35" s="1"/>
  <c r="AU120" i="35"/>
  <c r="BF120" i="35" s="1"/>
  <c r="AT120" i="35"/>
  <c r="BE120" i="35" s="1"/>
  <c r="AS120" i="35"/>
  <c r="BD120" i="35" s="1"/>
  <c r="AR120" i="35"/>
  <c r="BC120" i="35" s="1"/>
  <c r="AQ120" i="35"/>
  <c r="BB120" i="35" s="1"/>
  <c r="AP120" i="35"/>
  <c r="BA120" i="35" s="1"/>
  <c r="AO120" i="35"/>
  <c r="AZ120" i="35" s="1"/>
  <c r="AL120" i="35"/>
  <c r="AK120" i="35"/>
  <c r="AJ120" i="35"/>
  <c r="AI120" i="35"/>
  <c r="AH120" i="35"/>
  <c r="AG120" i="35"/>
  <c r="AF120" i="35"/>
  <c r="AE120" i="35"/>
  <c r="AD120" i="35"/>
  <c r="BH119" i="35"/>
  <c r="AW119" i="35"/>
  <c r="AV119" i="35"/>
  <c r="BG119" i="35" s="1"/>
  <c r="AU119" i="35"/>
  <c r="BF119" i="35" s="1"/>
  <c r="AT119" i="35"/>
  <c r="BE119" i="35" s="1"/>
  <c r="AS119" i="35"/>
  <c r="BD119" i="35" s="1"/>
  <c r="AR119" i="35"/>
  <c r="BC119" i="35" s="1"/>
  <c r="AQ119" i="35"/>
  <c r="BB119" i="35" s="1"/>
  <c r="AP119" i="35"/>
  <c r="BA119" i="35" s="1"/>
  <c r="AO119" i="35"/>
  <c r="AZ119" i="35" s="1"/>
  <c r="AL119" i="35"/>
  <c r="AK119" i="35"/>
  <c r="AJ119" i="35"/>
  <c r="AI119" i="35"/>
  <c r="AH119" i="35"/>
  <c r="AG119" i="35"/>
  <c r="AF119" i="35"/>
  <c r="AE119" i="35"/>
  <c r="AD119" i="35"/>
  <c r="BE118" i="35"/>
  <c r="AW118" i="35"/>
  <c r="BH118" i="35" s="1"/>
  <c r="AV118" i="35"/>
  <c r="BG118" i="35" s="1"/>
  <c r="AU118" i="35"/>
  <c r="BF118" i="35" s="1"/>
  <c r="AT118" i="35"/>
  <c r="AS118" i="35"/>
  <c r="BD118" i="35" s="1"/>
  <c r="AR118" i="35"/>
  <c r="BC118" i="35" s="1"/>
  <c r="AQ118" i="35"/>
  <c r="BB118" i="35" s="1"/>
  <c r="AP118" i="35"/>
  <c r="BA118" i="35" s="1"/>
  <c r="AO118" i="35"/>
  <c r="AZ118" i="35" s="1"/>
  <c r="AL118" i="35"/>
  <c r="AK118" i="35"/>
  <c r="AJ118" i="35"/>
  <c r="AI118" i="35"/>
  <c r="AH118" i="35"/>
  <c r="AG118" i="35"/>
  <c r="AF118" i="35"/>
  <c r="AE118" i="35"/>
  <c r="AD118" i="35"/>
  <c r="BH117" i="35"/>
  <c r="AW117" i="35"/>
  <c r="AV117" i="35"/>
  <c r="BG117" i="35" s="1"/>
  <c r="AU117" i="35"/>
  <c r="BF117" i="35" s="1"/>
  <c r="AT117" i="35"/>
  <c r="BE117" i="35" s="1"/>
  <c r="AS117" i="35"/>
  <c r="BD117" i="35" s="1"/>
  <c r="AR117" i="35"/>
  <c r="BC117" i="35" s="1"/>
  <c r="AQ117" i="35"/>
  <c r="BB117" i="35" s="1"/>
  <c r="AP117" i="35"/>
  <c r="BA117" i="35" s="1"/>
  <c r="AO117" i="35"/>
  <c r="AZ117" i="35" s="1"/>
  <c r="AL117" i="35"/>
  <c r="AK117" i="35"/>
  <c r="AJ117" i="35"/>
  <c r="AI117" i="35"/>
  <c r="AH117" i="35"/>
  <c r="AG117" i="35"/>
  <c r="AF117" i="35"/>
  <c r="AE117" i="35"/>
  <c r="AD117" i="35"/>
  <c r="H61" i="35"/>
  <c r="H59" i="35"/>
  <c r="B55" i="35"/>
  <c r="B54" i="35"/>
  <c r="B42" i="35"/>
  <c r="B41" i="35"/>
  <c r="G62" i="35" l="1"/>
  <c r="V77" i="35"/>
  <c r="BA75" i="35"/>
  <c r="X48" i="35" s="1"/>
  <c r="BA71" i="35"/>
  <c r="X44" i="35" s="1"/>
  <c r="BA67" i="35"/>
  <c r="AA90" i="35"/>
  <c r="AA86" i="35"/>
  <c r="AA82" i="35"/>
  <c r="J91" i="35"/>
  <c r="M86" i="35"/>
  <c r="I92" i="35"/>
  <c r="Y74" i="35"/>
  <c r="Y70" i="35"/>
  <c r="O43" i="35" s="1"/>
  <c r="S73" i="35"/>
  <c r="I46" i="35" s="1"/>
  <c r="T77" i="35"/>
  <c r="J51" i="35" s="1"/>
  <c r="AY75" i="35"/>
  <c r="V48" i="35" s="1"/>
  <c r="AY71" i="35"/>
  <c r="V44" i="35" s="1"/>
  <c r="AY67" i="35"/>
  <c r="Y90" i="35"/>
  <c r="Y86" i="35"/>
  <c r="Y82" i="35"/>
  <c r="O90" i="35"/>
  <c r="K86" i="35"/>
  <c r="I90" i="35"/>
  <c r="W74" i="35"/>
  <c r="M47" i="35" s="1"/>
  <c r="W70" i="35"/>
  <c r="M43" i="35" s="1"/>
  <c r="S71" i="35"/>
  <c r="I44" i="35" s="1"/>
  <c r="V76" i="35"/>
  <c r="BA74" i="35"/>
  <c r="BA70" i="35"/>
  <c r="AV74" i="35"/>
  <c r="S47" i="35" s="1"/>
  <c r="AA89" i="35"/>
  <c r="AA85" i="35"/>
  <c r="S92" i="35"/>
  <c r="P89" i="35"/>
  <c r="L85" i="35"/>
  <c r="I84" i="35"/>
  <c r="Y73" i="35"/>
  <c r="O46" i="35" s="1"/>
  <c r="Y69" i="35"/>
  <c r="O42" i="35" s="1"/>
  <c r="T76" i="35"/>
  <c r="J49" i="35" s="1"/>
  <c r="AY74" i="35"/>
  <c r="V47" i="35" s="1"/>
  <c r="AY70" i="35"/>
  <c r="V43" i="35" s="1"/>
  <c r="AV72" i="35"/>
  <c r="S45" i="35" s="1"/>
  <c r="Y89" i="35"/>
  <c r="Y85" i="35"/>
  <c r="S90" i="35"/>
  <c r="N89" i="35"/>
  <c r="J85" i="35"/>
  <c r="I82" i="35"/>
  <c r="W73" i="35"/>
  <c r="M46" i="35" s="1"/>
  <c r="W69" i="35"/>
  <c r="M42" i="35" s="1"/>
  <c r="BA77" i="35"/>
  <c r="X51" i="35" s="1"/>
  <c r="BA73" i="35"/>
  <c r="BA69" i="35"/>
  <c r="AA92" i="35"/>
  <c r="AA88" i="35"/>
  <c r="AA84" i="35"/>
  <c r="S84" i="35"/>
  <c r="O88" i="35"/>
  <c r="K84" i="35"/>
  <c r="H87" i="35"/>
  <c r="Y72" i="35"/>
  <c r="O45" i="35" s="1"/>
  <c r="Y68" i="35"/>
  <c r="O41" i="35" s="1"/>
  <c r="BA76" i="35"/>
  <c r="BA72" i="35"/>
  <c r="X45" i="35" s="1"/>
  <c r="BA68" i="35"/>
  <c r="AA91" i="35"/>
  <c r="AA87" i="35"/>
  <c r="AA83" i="35"/>
  <c r="K92" i="35"/>
  <c r="N87" i="35"/>
  <c r="J83" i="35"/>
  <c r="Y75" i="35"/>
  <c r="Y71" i="35"/>
  <c r="O44" i="35" s="1"/>
  <c r="Y67" i="35"/>
  <c r="O40" i="35" s="1"/>
  <c r="AY76" i="35"/>
  <c r="V49" i="35" s="1"/>
  <c r="AY72" i="35"/>
  <c r="V45" i="35" s="1"/>
  <c r="AY68" i="35"/>
  <c r="Y91" i="35"/>
  <c r="Y87" i="35"/>
  <c r="Y83" i="35"/>
  <c r="P91" i="35"/>
  <c r="L87" i="35"/>
  <c r="O82" i="35"/>
  <c r="W75" i="35"/>
  <c r="M48" i="35" s="1"/>
  <c r="W71" i="35"/>
  <c r="M44" i="35" s="1"/>
  <c r="W67" i="35"/>
  <c r="M40" i="35" s="1"/>
  <c r="AY77" i="35"/>
  <c r="V51" i="35" s="1"/>
  <c r="P83" i="35"/>
  <c r="AY73" i="35"/>
  <c r="V46" i="35" s="1"/>
  <c r="H85" i="35"/>
  <c r="AY69" i="35"/>
  <c r="W72" i="35"/>
  <c r="M45" i="35" s="1"/>
  <c r="Y92" i="35"/>
  <c r="W68" i="35"/>
  <c r="M41" i="35" s="1"/>
  <c r="Y88" i="35"/>
  <c r="Y84" i="35"/>
  <c r="S82" i="35"/>
  <c r="M88" i="35"/>
  <c r="I77" i="35"/>
  <c r="S72" i="35"/>
  <c r="I45" i="35" s="1"/>
  <c r="X67" i="35"/>
  <c r="N40" i="35" s="1"/>
  <c r="X68" i="35"/>
  <c r="N41" i="35" s="1"/>
  <c r="X69" i="35"/>
  <c r="N42" i="35" s="1"/>
  <c r="X70" i="35"/>
  <c r="N43" i="35" s="1"/>
  <c r="X71" i="35"/>
  <c r="N44" i="35" s="1"/>
  <c r="X72" i="35"/>
  <c r="N45" i="35" s="1"/>
  <c r="X73" i="35"/>
  <c r="N46" i="35" s="1"/>
  <c r="X74" i="35"/>
  <c r="N47" i="35" s="1"/>
  <c r="X75" i="35"/>
  <c r="N48" i="35" s="1"/>
  <c r="H86" i="35"/>
  <c r="I83" i="35"/>
  <c r="I91" i="35"/>
  <c r="P82" i="35"/>
  <c r="J84" i="35"/>
  <c r="K85" i="35"/>
  <c r="L86" i="35"/>
  <c r="M87" i="35"/>
  <c r="N88" i="35"/>
  <c r="O89" i="35"/>
  <c r="P90" i="35"/>
  <c r="J92" i="35"/>
  <c r="S83" i="35"/>
  <c r="S91" i="35"/>
  <c r="Z82" i="35"/>
  <c r="Z83" i="35"/>
  <c r="Z84" i="35"/>
  <c r="Z85" i="35"/>
  <c r="Z86" i="35"/>
  <c r="Z87" i="35"/>
  <c r="Z88" i="35"/>
  <c r="Z89" i="35"/>
  <c r="Z90" i="35"/>
  <c r="Z91" i="35"/>
  <c r="Z92" i="35"/>
  <c r="AV73" i="35"/>
  <c r="S46" i="35" s="1"/>
  <c r="AZ67" i="35"/>
  <c r="AZ68" i="35"/>
  <c r="AZ69" i="35"/>
  <c r="AZ70" i="35"/>
  <c r="AZ71" i="35"/>
  <c r="W44" i="35" s="1"/>
  <c r="AZ72" i="35"/>
  <c r="W45" i="35" s="1"/>
  <c r="AZ73" i="35"/>
  <c r="AZ74" i="35"/>
  <c r="W47" i="35" s="1"/>
  <c r="AZ75" i="35"/>
  <c r="W48" i="35" s="1"/>
  <c r="AZ76" i="35"/>
  <c r="W49" i="35" s="1"/>
  <c r="AZ77" i="35"/>
  <c r="W51" i="35" s="1"/>
  <c r="U76" i="35"/>
  <c r="K49" i="35" s="1"/>
  <c r="U77" i="35"/>
  <c r="K51" i="35" s="1"/>
  <c r="S74" i="35"/>
  <c r="I47" i="35" s="1"/>
  <c r="Z67" i="35"/>
  <c r="P40" i="35" s="1"/>
  <c r="Z68" i="35"/>
  <c r="P41" i="35" s="1"/>
  <c r="Z69" i="35"/>
  <c r="P42" i="35" s="1"/>
  <c r="Z70" i="35"/>
  <c r="P43" i="35" s="1"/>
  <c r="Z71" i="35"/>
  <c r="P44" i="35" s="1"/>
  <c r="Z72" i="35"/>
  <c r="P45" i="35" s="1"/>
  <c r="Z73" i="35"/>
  <c r="P46" i="35" s="1"/>
  <c r="Z74" i="35"/>
  <c r="P47" i="35" s="1"/>
  <c r="Z75" i="35"/>
  <c r="P48" i="35" s="1"/>
  <c r="H88" i="35"/>
  <c r="I85" i="35"/>
  <c r="J82" i="35"/>
  <c r="K83" i="35"/>
  <c r="L84" i="35"/>
  <c r="M85" i="35"/>
  <c r="N86" i="35"/>
  <c r="O87" i="35"/>
  <c r="P88" i="35"/>
  <c r="J90" i="35"/>
  <c r="K91" i="35"/>
  <c r="L92" i="35"/>
  <c r="S85" i="35"/>
  <c r="T82" i="35"/>
  <c r="T83" i="35"/>
  <c r="T84" i="35"/>
  <c r="T85" i="35"/>
  <c r="T86" i="35"/>
  <c r="T87" i="35"/>
  <c r="T88" i="35"/>
  <c r="T89" i="35"/>
  <c r="T90" i="35"/>
  <c r="T91" i="35"/>
  <c r="T92" i="35"/>
  <c r="AV67" i="35"/>
  <c r="S40" i="35" s="1"/>
  <c r="AV75" i="35"/>
  <c r="S48" i="35" s="1"/>
  <c r="BB67" i="35"/>
  <c r="BB68" i="35"/>
  <c r="BB69" i="35"/>
  <c r="BB70" i="35"/>
  <c r="BB71" i="35"/>
  <c r="Y44" i="35" s="1"/>
  <c r="BB72" i="35"/>
  <c r="Y45" i="35" s="1"/>
  <c r="BB73" i="35"/>
  <c r="BB74" i="35"/>
  <c r="Y47" i="35" s="1"/>
  <c r="BB75" i="35"/>
  <c r="Y48" i="35" s="1"/>
  <c r="BB76" i="35"/>
  <c r="BB77" i="35"/>
  <c r="Y51" i="35" s="1"/>
  <c r="W76" i="35"/>
  <c r="M49" i="35" s="1"/>
  <c r="W77" i="35"/>
  <c r="M51" i="35" s="1"/>
  <c r="S67" i="35"/>
  <c r="I40" i="35" s="1"/>
  <c r="S75" i="35"/>
  <c r="I48" i="35" s="1"/>
  <c r="AA67" i="35"/>
  <c r="AA68" i="35"/>
  <c r="AA69" i="35"/>
  <c r="AA70" i="35"/>
  <c r="AA71" i="35"/>
  <c r="AA72" i="35"/>
  <c r="AA73" i="35"/>
  <c r="AA74" i="35"/>
  <c r="AA75" i="35"/>
  <c r="H89" i="35"/>
  <c r="I86" i="35"/>
  <c r="K82" i="35"/>
  <c r="L83" i="35"/>
  <c r="M84" i="35"/>
  <c r="N85" i="35"/>
  <c r="O86" i="35"/>
  <c r="P87" i="35"/>
  <c r="J89" i="35"/>
  <c r="K90" i="35"/>
  <c r="L91" i="35"/>
  <c r="M92" i="35"/>
  <c r="S86" i="35"/>
  <c r="U82" i="35"/>
  <c r="U83" i="35"/>
  <c r="U84" i="35"/>
  <c r="U85" i="35"/>
  <c r="U86" i="35"/>
  <c r="U87" i="35"/>
  <c r="U88" i="35"/>
  <c r="U89" i="35"/>
  <c r="U90" i="35"/>
  <c r="U91" i="35"/>
  <c r="U92" i="35"/>
  <c r="U97" i="35" s="1"/>
  <c r="AV68" i="35"/>
  <c r="AV76" i="35"/>
  <c r="S49" i="35" s="1"/>
  <c r="BC67" i="35"/>
  <c r="BC68" i="35"/>
  <c r="BC69" i="35"/>
  <c r="BC70" i="35"/>
  <c r="BC71" i="35"/>
  <c r="Z44" i="35" s="1"/>
  <c r="BC72" i="35"/>
  <c r="Z45" i="35" s="1"/>
  <c r="BC73" i="35"/>
  <c r="BC74" i="35"/>
  <c r="BC75" i="35"/>
  <c r="Z48" i="35" s="1"/>
  <c r="BC76" i="35"/>
  <c r="BC77" i="35"/>
  <c r="Z51" i="35" s="1"/>
  <c r="X76" i="35"/>
  <c r="N49" i="35" s="1"/>
  <c r="X77" i="35"/>
  <c r="N51" i="35" s="1"/>
  <c r="S68" i="35"/>
  <c r="I41" i="35" s="1"/>
  <c r="T67" i="35"/>
  <c r="J40" i="35" s="1"/>
  <c r="T68" i="35"/>
  <c r="J41" i="35" s="1"/>
  <c r="T69" i="35"/>
  <c r="J42" i="35" s="1"/>
  <c r="T70" i="35"/>
  <c r="J43" i="35" s="1"/>
  <c r="T71" i="35"/>
  <c r="J44" i="35" s="1"/>
  <c r="T72" i="35"/>
  <c r="J45" i="35" s="1"/>
  <c r="T73" i="35"/>
  <c r="J46" i="35" s="1"/>
  <c r="T74" i="35"/>
  <c r="J47" i="35" s="1"/>
  <c r="T75" i="35"/>
  <c r="J48" i="35" s="1"/>
  <c r="H82" i="35"/>
  <c r="H90" i="35"/>
  <c r="I87" i="35"/>
  <c r="L82" i="35"/>
  <c r="M83" i="35"/>
  <c r="N84" i="35"/>
  <c r="O85" i="35"/>
  <c r="P86" i="35"/>
  <c r="J88" i="35"/>
  <c r="K89" i="35"/>
  <c r="L90" i="35"/>
  <c r="M91" i="35"/>
  <c r="N92" i="35"/>
  <c r="S87" i="35"/>
  <c r="V82" i="35"/>
  <c r="V83" i="35"/>
  <c r="V84" i="35"/>
  <c r="V85" i="35"/>
  <c r="V86" i="35"/>
  <c r="V87" i="35"/>
  <c r="V88" i="35"/>
  <c r="V89" i="35"/>
  <c r="V90" i="35"/>
  <c r="V91" i="35"/>
  <c r="V92" i="35"/>
  <c r="AV69" i="35"/>
  <c r="S42" i="35" s="1"/>
  <c r="AV77" i="35"/>
  <c r="S51" i="35" s="1"/>
  <c r="BD67" i="35"/>
  <c r="BD68" i="35"/>
  <c r="BD69" i="35"/>
  <c r="BD70" i="35"/>
  <c r="BD71" i="35"/>
  <c r="AA44" i="35" s="1"/>
  <c r="BD72" i="35"/>
  <c r="AA45" i="35" s="1"/>
  <c r="BD73" i="35"/>
  <c r="BD74" i="35"/>
  <c r="BD75" i="35"/>
  <c r="BD76" i="35"/>
  <c r="BD77" i="35"/>
  <c r="AA51" i="35" s="1"/>
  <c r="Y76" i="35"/>
  <c r="O49" i="35" s="1"/>
  <c r="Y77" i="35"/>
  <c r="O51" i="35" s="1"/>
  <c r="S69" i="35"/>
  <c r="I42" i="35" s="1"/>
  <c r="U67" i="35"/>
  <c r="K40" i="35" s="1"/>
  <c r="U68" i="35"/>
  <c r="K41" i="35" s="1"/>
  <c r="U69" i="35"/>
  <c r="K42" i="35" s="1"/>
  <c r="U70" i="35"/>
  <c r="K43" i="35" s="1"/>
  <c r="U71" i="35"/>
  <c r="K44" i="35" s="1"/>
  <c r="U72" i="35"/>
  <c r="K45" i="35" s="1"/>
  <c r="U73" i="35"/>
  <c r="K46" i="35" s="1"/>
  <c r="U74" i="35"/>
  <c r="K47" i="35" s="1"/>
  <c r="U75" i="35"/>
  <c r="K48" i="35" s="1"/>
  <c r="H83" i="35"/>
  <c r="H91" i="35"/>
  <c r="I88" i="35"/>
  <c r="M82" i="35"/>
  <c r="N83" i="35"/>
  <c r="O84" i="35"/>
  <c r="P85" i="35"/>
  <c r="J87" i="35"/>
  <c r="K88" i="35"/>
  <c r="L89" i="35"/>
  <c r="M90" i="35"/>
  <c r="N91" i="35"/>
  <c r="O92" i="35"/>
  <c r="S88" i="35"/>
  <c r="W82" i="35"/>
  <c r="W83" i="35"/>
  <c r="W84" i="35"/>
  <c r="W85" i="35"/>
  <c r="W86" i="35"/>
  <c r="W87" i="35"/>
  <c r="W88" i="35"/>
  <c r="W89" i="35"/>
  <c r="W90" i="35"/>
  <c r="W91" i="35"/>
  <c r="W92" i="35"/>
  <c r="AV70" i="35"/>
  <c r="S43" i="35" s="1"/>
  <c r="AW67" i="35"/>
  <c r="T40" i="35" s="1"/>
  <c r="AW68" i="35"/>
  <c r="AW69" i="35"/>
  <c r="T42" i="35" s="1"/>
  <c r="AW70" i="35"/>
  <c r="T43" i="35" s="1"/>
  <c r="AW71" i="35"/>
  <c r="T44" i="35" s="1"/>
  <c r="AW72" i="35"/>
  <c r="T45" i="35" s="1"/>
  <c r="AW73" i="35"/>
  <c r="T46" i="35" s="1"/>
  <c r="AW74" i="35"/>
  <c r="T47" i="35" s="1"/>
  <c r="AW75" i="35"/>
  <c r="T48" i="35" s="1"/>
  <c r="AW76" i="35"/>
  <c r="T49" i="35" s="1"/>
  <c r="AW77" i="35"/>
  <c r="T51" i="35" s="1"/>
  <c r="S76" i="35"/>
  <c r="I49" i="35" s="1"/>
  <c r="Z76" i="35"/>
  <c r="P49" i="35" s="1"/>
  <c r="Z77" i="35"/>
  <c r="P51" i="35" s="1"/>
  <c r="S70" i="35"/>
  <c r="I43" i="35" s="1"/>
  <c r="V67" i="35"/>
  <c r="V68" i="35"/>
  <c r="V69" i="35"/>
  <c r="V70" i="35"/>
  <c r="V71" i="35"/>
  <c r="V72" i="35"/>
  <c r="V73" i="35"/>
  <c r="V74" i="35"/>
  <c r="V75" i="35"/>
  <c r="H84" i="35"/>
  <c r="H92" i="35"/>
  <c r="I89" i="35"/>
  <c r="N82" i="35"/>
  <c r="O83" i="35"/>
  <c r="P84" i="35"/>
  <c r="J86" i="35"/>
  <c r="K87" i="35"/>
  <c r="L88" i="35"/>
  <c r="M89" i="35"/>
  <c r="N90" i="35"/>
  <c r="O91" i="35"/>
  <c r="P92" i="35"/>
  <c r="S89" i="35"/>
  <c r="X82" i="35"/>
  <c r="X83" i="35"/>
  <c r="X84" i="35"/>
  <c r="X85" i="35"/>
  <c r="X86" i="35"/>
  <c r="X87" i="35"/>
  <c r="X88" i="35"/>
  <c r="X89" i="35"/>
  <c r="X90" i="35"/>
  <c r="X91" i="35"/>
  <c r="X92" i="35"/>
  <c r="AV71" i="35"/>
  <c r="S44" i="35" s="1"/>
  <c r="AX67" i="35"/>
  <c r="U40" i="35" s="1"/>
  <c r="AX68" i="35"/>
  <c r="AX69" i="35"/>
  <c r="AX70" i="35"/>
  <c r="AX71" i="35"/>
  <c r="U44" i="35" s="1"/>
  <c r="AX72" i="35"/>
  <c r="U45" i="35" s="1"/>
  <c r="AX73" i="35"/>
  <c r="U46" i="35" s="1"/>
  <c r="AX74" i="35"/>
  <c r="U47" i="35" s="1"/>
  <c r="AX75" i="35"/>
  <c r="U48" i="35" s="1"/>
  <c r="AX76" i="35"/>
  <c r="U49" i="35" s="1"/>
  <c r="AX77" i="35"/>
  <c r="U51" i="35" s="1"/>
  <c r="S77" i="35"/>
  <c r="I51" i="35" s="1"/>
  <c r="AA76" i="35"/>
  <c r="AA77" i="35"/>
  <c r="I70" i="35"/>
  <c r="I71" i="35"/>
  <c r="I72" i="35"/>
  <c r="I73" i="35"/>
  <c r="H70" i="35"/>
  <c r="I74" i="35"/>
  <c r="I67" i="35"/>
  <c r="I75" i="35"/>
  <c r="P77" i="35"/>
  <c r="I68" i="35"/>
  <c r="I76" i="35"/>
  <c r="I69" i="35"/>
  <c r="H71" i="35"/>
  <c r="J67" i="35"/>
  <c r="J68" i="35"/>
  <c r="J69" i="35"/>
  <c r="J70" i="35"/>
  <c r="J71" i="35"/>
  <c r="J72" i="35"/>
  <c r="J73" i="35"/>
  <c r="J74" i="35"/>
  <c r="J75" i="35"/>
  <c r="J76" i="35"/>
  <c r="J77" i="35"/>
  <c r="H72" i="35"/>
  <c r="K67" i="35"/>
  <c r="K68" i="35"/>
  <c r="K69" i="35"/>
  <c r="K70" i="35"/>
  <c r="K71" i="35"/>
  <c r="K72" i="35"/>
  <c r="K73" i="35"/>
  <c r="K74" i="35"/>
  <c r="K75" i="35"/>
  <c r="K76" i="35"/>
  <c r="K77" i="35"/>
  <c r="H73" i="35"/>
  <c r="L67" i="35"/>
  <c r="L68" i="35"/>
  <c r="L69" i="35"/>
  <c r="L70" i="35"/>
  <c r="L71" i="35"/>
  <c r="L72" i="35"/>
  <c r="L73" i="35"/>
  <c r="L74" i="35"/>
  <c r="L75" i="35"/>
  <c r="L76" i="35"/>
  <c r="L77" i="35"/>
  <c r="H74" i="35"/>
  <c r="M67" i="35"/>
  <c r="M68" i="35"/>
  <c r="M69" i="35"/>
  <c r="M70" i="35"/>
  <c r="M71" i="35"/>
  <c r="M72" i="35"/>
  <c r="M73" i="35"/>
  <c r="M74" i="35"/>
  <c r="M75" i="35"/>
  <c r="M76" i="35"/>
  <c r="M77" i="35"/>
  <c r="H67" i="35"/>
  <c r="H75" i="35"/>
  <c r="N67" i="35"/>
  <c r="N68" i="35"/>
  <c r="N69" i="35"/>
  <c r="N70" i="35"/>
  <c r="N71" i="35"/>
  <c r="N72" i="35"/>
  <c r="N73" i="35"/>
  <c r="N74" i="35"/>
  <c r="N75" i="35"/>
  <c r="N76" i="35"/>
  <c r="N77" i="35"/>
  <c r="H68" i="35"/>
  <c r="H76" i="35"/>
  <c r="O67" i="35"/>
  <c r="O68" i="35"/>
  <c r="O69" i="35"/>
  <c r="O70" i="35"/>
  <c r="O71" i="35"/>
  <c r="O72" i="35"/>
  <c r="O73" i="35"/>
  <c r="O74" i="35"/>
  <c r="O75" i="35"/>
  <c r="O76" i="35"/>
  <c r="O77" i="35"/>
  <c r="H69" i="35"/>
  <c r="H77" i="35"/>
  <c r="P67" i="35"/>
  <c r="P68" i="35"/>
  <c r="P69" i="35"/>
  <c r="P70" i="35"/>
  <c r="P71" i="35"/>
  <c r="P72" i="35"/>
  <c r="P73" i="35"/>
  <c r="P74" i="35"/>
  <c r="P75" i="35"/>
  <c r="P76" i="35"/>
  <c r="L45" i="35" l="1"/>
  <c r="I101" i="35"/>
  <c r="L44" i="35"/>
  <c r="I100" i="35"/>
  <c r="Q41" i="35"/>
  <c r="J97" i="35"/>
  <c r="K97" i="35" s="1"/>
  <c r="L97" i="35" s="1"/>
  <c r="L51" i="35"/>
  <c r="I106" i="35"/>
  <c r="Q49" i="35"/>
  <c r="J105" i="35"/>
  <c r="Q42" i="35"/>
  <c r="J98" i="35"/>
  <c r="L43" i="35"/>
  <c r="I99" i="35"/>
  <c r="M99" i="35" s="1"/>
  <c r="Q48" i="35"/>
  <c r="J104" i="35"/>
  <c r="Q40" i="35"/>
  <c r="J96" i="35"/>
  <c r="O48" i="35"/>
  <c r="V98" i="35"/>
  <c r="L42" i="35"/>
  <c r="I98" i="35"/>
  <c r="M98" i="35" s="1"/>
  <c r="Q47" i="35"/>
  <c r="J103" i="35"/>
  <c r="Q46" i="35"/>
  <c r="J102" i="35"/>
  <c r="L41" i="35"/>
  <c r="I97" i="35"/>
  <c r="Q51" i="35"/>
  <c r="J106" i="35"/>
  <c r="L48" i="35"/>
  <c r="I104" i="35"/>
  <c r="L40" i="35"/>
  <c r="I96" i="35"/>
  <c r="Q45" i="35"/>
  <c r="J101" i="35"/>
  <c r="L47" i="35"/>
  <c r="I103" i="35"/>
  <c r="Q44" i="35"/>
  <c r="J100" i="35"/>
  <c r="L46" i="35"/>
  <c r="I102" i="35"/>
  <c r="Q43" i="35"/>
  <c r="J99" i="35"/>
  <c r="L49" i="35"/>
  <c r="I105" i="35"/>
  <c r="O47" i="35"/>
  <c r="V97" i="35"/>
  <c r="U43" i="35"/>
  <c r="U41" i="35"/>
  <c r="AA41" i="35"/>
  <c r="Z43" i="35"/>
  <c r="W46" i="35"/>
  <c r="Y43" i="35"/>
  <c r="Z46" i="35"/>
  <c r="S41" i="35"/>
  <c r="AA43" i="35"/>
  <c r="W40" i="35"/>
  <c r="U42" i="35"/>
  <c r="Y40" i="35"/>
  <c r="T41" i="35"/>
  <c r="AA42" i="35"/>
  <c r="Y46" i="35"/>
  <c r="X49" i="35"/>
  <c r="AA48" i="35"/>
  <c r="AA40" i="35"/>
  <c r="Z42" i="35"/>
  <c r="V41" i="35"/>
  <c r="X42" i="35"/>
  <c r="X43" i="35"/>
  <c r="AA47" i="35"/>
  <c r="Z49" i="35"/>
  <c r="Z41" i="35"/>
  <c r="X46" i="35"/>
  <c r="X47" i="35"/>
  <c r="X40" i="35"/>
  <c r="AA46" i="35"/>
  <c r="Z40" i="35"/>
  <c r="Y42" i="35"/>
  <c r="W43" i="35"/>
  <c r="V42" i="35"/>
  <c r="Z47" i="35"/>
  <c r="Y49" i="35"/>
  <c r="Y41" i="35"/>
  <c r="W42" i="35"/>
  <c r="AA49" i="35"/>
  <c r="W41" i="35"/>
  <c r="X41" i="35"/>
  <c r="V40" i="35"/>
  <c r="AJ562" i="22"/>
  <c r="AJ561" i="22"/>
  <c r="AJ560" i="22"/>
  <c r="AJ559" i="22"/>
  <c r="AJ558" i="22"/>
  <c r="AJ557" i="22"/>
  <c r="AJ556" i="22"/>
  <c r="AJ555" i="22"/>
  <c r="AJ554" i="22"/>
  <c r="AJ553" i="22"/>
  <c r="AJ552" i="22"/>
  <c r="AJ551" i="22"/>
  <c r="AJ550" i="22"/>
  <c r="AJ549" i="22"/>
  <c r="AJ548" i="22"/>
  <c r="AJ547" i="22"/>
  <c r="AJ546" i="22"/>
  <c r="AJ545" i="22"/>
  <c r="AJ544" i="22"/>
  <c r="AJ543" i="22"/>
  <c r="AJ542" i="22"/>
  <c r="AJ541" i="22"/>
  <c r="AJ540" i="22"/>
  <c r="AJ539" i="22"/>
  <c r="AJ538" i="22"/>
  <c r="AJ537" i="22"/>
  <c r="AJ536" i="22"/>
  <c r="AJ535" i="22"/>
  <c r="AJ534" i="22"/>
  <c r="AJ533" i="22"/>
  <c r="AJ532" i="22"/>
  <c r="AJ531" i="22"/>
  <c r="AJ530" i="22"/>
  <c r="AJ529" i="22"/>
  <c r="AJ528" i="22"/>
  <c r="AJ527" i="22"/>
  <c r="AJ526" i="22"/>
  <c r="AJ525" i="22"/>
  <c r="AJ524" i="22"/>
  <c r="AJ523" i="22"/>
  <c r="AI562" i="22"/>
  <c r="AI561" i="22"/>
  <c r="AI560" i="22"/>
  <c r="AI559" i="22"/>
  <c r="AI558" i="22"/>
  <c r="AI557" i="22"/>
  <c r="AI556" i="22"/>
  <c r="AI555" i="22"/>
  <c r="AI554" i="22"/>
  <c r="AI553" i="22"/>
  <c r="AI552" i="22"/>
  <c r="AI551" i="22"/>
  <c r="AI550" i="22"/>
  <c r="AI549" i="22"/>
  <c r="AI548" i="22"/>
  <c r="AI547" i="22"/>
  <c r="AI546" i="22"/>
  <c r="AI545" i="22"/>
  <c r="AI544" i="22"/>
  <c r="AI543" i="22"/>
  <c r="AI542" i="22"/>
  <c r="AI541" i="22"/>
  <c r="AI540" i="22"/>
  <c r="AI539" i="22"/>
  <c r="AI538" i="22"/>
  <c r="AI537" i="22"/>
  <c r="AI536" i="22"/>
  <c r="AI535" i="22"/>
  <c r="AI534" i="22"/>
  <c r="AI533" i="22"/>
  <c r="AI532" i="22"/>
  <c r="AI531" i="22"/>
  <c r="AI530" i="22"/>
  <c r="AI529" i="22"/>
  <c r="AI528" i="22"/>
  <c r="AI527" i="22"/>
  <c r="AI526" i="22"/>
  <c r="AI525" i="22"/>
  <c r="AI524" i="22"/>
  <c r="AI523" i="22"/>
  <c r="AH562" i="22"/>
  <c r="AH561" i="22"/>
  <c r="AH560" i="22"/>
  <c r="AH559" i="22"/>
  <c r="AH558" i="22"/>
  <c r="AH557" i="22"/>
  <c r="AH556" i="22"/>
  <c r="AH555" i="22"/>
  <c r="AH554" i="22"/>
  <c r="AH553" i="22"/>
  <c r="AH552" i="22"/>
  <c r="AH551" i="22"/>
  <c r="AH550" i="22"/>
  <c r="AH549" i="22"/>
  <c r="AH548" i="22"/>
  <c r="AH547" i="22"/>
  <c r="AH546" i="22"/>
  <c r="AH545" i="22"/>
  <c r="AH544" i="22"/>
  <c r="AH543" i="22"/>
  <c r="AH542" i="22"/>
  <c r="AH541" i="22"/>
  <c r="AH540" i="22"/>
  <c r="AH539" i="22"/>
  <c r="AH538" i="22"/>
  <c r="AH537" i="22"/>
  <c r="AH536" i="22"/>
  <c r="AH535" i="22"/>
  <c r="AH534" i="22"/>
  <c r="AH533" i="22"/>
  <c r="AH532" i="22"/>
  <c r="AH531" i="22"/>
  <c r="AH530" i="22"/>
  <c r="AH529" i="22"/>
  <c r="AH528" i="22"/>
  <c r="AH527" i="22"/>
  <c r="AH526" i="22"/>
  <c r="AH525" i="22"/>
  <c r="AH524" i="22"/>
  <c r="AH523" i="22"/>
  <c r="AG562" i="22"/>
  <c r="AG561" i="22"/>
  <c r="AG560" i="22"/>
  <c r="AG559" i="22"/>
  <c r="AG558" i="22"/>
  <c r="AG557" i="22"/>
  <c r="AG556" i="22"/>
  <c r="AG555" i="22"/>
  <c r="AG554" i="22"/>
  <c r="AG553" i="22"/>
  <c r="AG552" i="22"/>
  <c r="AG551" i="22"/>
  <c r="AG550" i="22"/>
  <c r="AG549" i="22"/>
  <c r="AG548" i="22"/>
  <c r="AG547" i="22"/>
  <c r="AG546" i="22"/>
  <c r="AG545" i="22"/>
  <c r="AG544" i="22"/>
  <c r="AG543" i="22"/>
  <c r="AG542" i="22"/>
  <c r="AG541" i="22"/>
  <c r="AG540" i="22"/>
  <c r="AG539" i="22"/>
  <c r="AG538" i="22"/>
  <c r="AG537" i="22"/>
  <c r="AG536" i="22"/>
  <c r="AG535" i="22"/>
  <c r="AG534" i="22"/>
  <c r="AG533" i="22"/>
  <c r="AG532" i="22"/>
  <c r="AG531" i="22"/>
  <c r="AG530" i="22"/>
  <c r="AG529" i="22"/>
  <c r="AG528" i="22"/>
  <c r="AG527" i="22"/>
  <c r="AG526" i="22"/>
  <c r="AG525" i="22"/>
  <c r="AG524" i="22"/>
  <c r="AG523" i="22"/>
  <c r="AF562" i="22"/>
  <c r="AF561" i="22"/>
  <c r="AF560" i="22"/>
  <c r="AF559" i="22"/>
  <c r="AF558" i="22"/>
  <c r="AF557" i="22"/>
  <c r="AF556" i="22"/>
  <c r="AF555" i="22"/>
  <c r="AF554" i="22"/>
  <c r="AF553" i="22"/>
  <c r="AF552" i="22"/>
  <c r="AF551" i="22"/>
  <c r="AF550" i="22"/>
  <c r="AF549" i="22"/>
  <c r="AF548" i="22"/>
  <c r="AF547" i="22"/>
  <c r="AF546" i="22"/>
  <c r="AF545" i="22"/>
  <c r="AF544" i="22"/>
  <c r="AF543" i="22"/>
  <c r="AF542" i="22"/>
  <c r="AF541" i="22"/>
  <c r="AF540" i="22"/>
  <c r="AF539" i="22"/>
  <c r="AF538" i="22"/>
  <c r="AF537" i="22"/>
  <c r="AF536" i="22"/>
  <c r="AF535" i="22"/>
  <c r="AF534" i="22"/>
  <c r="AF533" i="22"/>
  <c r="AF532" i="22"/>
  <c r="AF531" i="22"/>
  <c r="AF530" i="22"/>
  <c r="AF529" i="22"/>
  <c r="AF528" i="22"/>
  <c r="AF527" i="22"/>
  <c r="AF526" i="22"/>
  <c r="AF525" i="22"/>
  <c r="AF524" i="22"/>
  <c r="AF523" i="22"/>
  <c r="AE562" i="22"/>
  <c r="AE561" i="22"/>
  <c r="AE560" i="22"/>
  <c r="AE559" i="22"/>
  <c r="AE558" i="22"/>
  <c r="AE557" i="22"/>
  <c r="AE556" i="22"/>
  <c r="AE555" i="22"/>
  <c r="AE554" i="22"/>
  <c r="AE553" i="22"/>
  <c r="AE552" i="22"/>
  <c r="AE551" i="22"/>
  <c r="AE550" i="22"/>
  <c r="AE549" i="22"/>
  <c r="AE548" i="22"/>
  <c r="AE547" i="22"/>
  <c r="AE546" i="22"/>
  <c r="AE545" i="22"/>
  <c r="AE544" i="22"/>
  <c r="AE543" i="22"/>
  <c r="AE542" i="22"/>
  <c r="AE541" i="22"/>
  <c r="AE540" i="22"/>
  <c r="AE539" i="22"/>
  <c r="AE538" i="22"/>
  <c r="AE537" i="22"/>
  <c r="AE536" i="22"/>
  <c r="AE535" i="22"/>
  <c r="AE534" i="22"/>
  <c r="AE533" i="22"/>
  <c r="AE532" i="22"/>
  <c r="AE531" i="22"/>
  <c r="AE530" i="22"/>
  <c r="AE529" i="22"/>
  <c r="AE528" i="22"/>
  <c r="AE527" i="22"/>
  <c r="AE526" i="22"/>
  <c r="AE525" i="22"/>
  <c r="AE524" i="22"/>
  <c r="AE523" i="22"/>
  <c r="AD562" i="22"/>
  <c r="AD561" i="22"/>
  <c r="AD560" i="22"/>
  <c r="AD559" i="22"/>
  <c r="AD558" i="22"/>
  <c r="AD557" i="22"/>
  <c r="AD556" i="22"/>
  <c r="AD555" i="22"/>
  <c r="AD554" i="22"/>
  <c r="AD553" i="22"/>
  <c r="AD552" i="22"/>
  <c r="AD551" i="22"/>
  <c r="AD550" i="22"/>
  <c r="AD549" i="22"/>
  <c r="AD548" i="22"/>
  <c r="AD547" i="22"/>
  <c r="AD546" i="22"/>
  <c r="AD545" i="22"/>
  <c r="AD544" i="22"/>
  <c r="AD543" i="22"/>
  <c r="AD542" i="22"/>
  <c r="AD541" i="22"/>
  <c r="AD540" i="22"/>
  <c r="AD539" i="22"/>
  <c r="AD538" i="22"/>
  <c r="AD537" i="22"/>
  <c r="AD536" i="22"/>
  <c r="AD535" i="22"/>
  <c r="AD534" i="22"/>
  <c r="AD533" i="22"/>
  <c r="AD527" i="22"/>
  <c r="AD526" i="22"/>
  <c r="AD525" i="22"/>
  <c r="AD524" i="22"/>
  <c r="AD523" i="22"/>
  <c r="AD532" i="22"/>
  <c r="AD531" i="22"/>
  <c r="AD530" i="22"/>
  <c r="AD529" i="22"/>
  <c r="AD528" i="22"/>
  <c r="AL527" i="22"/>
  <c r="AL526" i="22"/>
  <c r="AL525" i="22"/>
  <c r="AL524" i="22"/>
  <c r="AL523" i="22"/>
  <c r="AL547" i="22"/>
  <c r="AL546" i="22"/>
  <c r="AL545" i="22"/>
  <c r="AL544" i="22"/>
  <c r="AL543" i="22"/>
  <c r="K106" i="35" l="1"/>
  <c r="M103" i="35"/>
  <c r="K105" i="35"/>
  <c r="K96" i="35"/>
  <c r="M96" i="35"/>
  <c r="M102" i="35"/>
  <c r="K102" i="35"/>
  <c r="Z97" i="35"/>
  <c r="X97" i="35"/>
  <c r="M100" i="35"/>
  <c r="K100" i="35"/>
  <c r="K104" i="35"/>
  <c r="M104" i="35"/>
  <c r="K103" i="35"/>
  <c r="M106" i="35"/>
  <c r="N106" i="35" s="1"/>
  <c r="O106" i="35" s="1"/>
  <c r="M105" i="35"/>
  <c r="N105" i="35" s="1"/>
  <c r="O105" i="35" s="1"/>
  <c r="L106" i="35"/>
  <c r="L105" i="35"/>
  <c r="K99" i="35"/>
  <c r="M101" i="35"/>
  <c r="K101" i="35"/>
  <c r="M97" i="35"/>
  <c r="N97" i="35" s="1"/>
  <c r="O97" i="35" s="1"/>
  <c r="Z98" i="35"/>
  <c r="X98" i="35"/>
  <c r="K98" i="35"/>
  <c r="B51" i="22"/>
  <c r="T48" i="22"/>
  <c r="B42" i="22"/>
  <c r="AA40" i="22"/>
  <c r="Z40" i="22"/>
  <c r="AW547" i="22"/>
  <c r="AV547" i="22"/>
  <c r="AU547" i="22"/>
  <c r="BF547" i="22" s="1"/>
  <c r="AT547" i="22"/>
  <c r="AS547" i="22"/>
  <c r="BD547" i="22" s="1"/>
  <c r="AR547" i="22"/>
  <c r="AQ547" i="22"/>
  <c r="AP547" i="22"/>
  <c r="BA547" i="22" s="1"/>
  <c r="AO547" i="22"/>
  <c r="AW546" i="22"/>
  <c r="BH546" i="22" s="1"/>
  <c r="AV546" i="22"/>
  <c r="BG546" i="22" s="1"/>
  <c r="AU546" i="22"/>
  <c r="AT546" i="22"/>
  <c r="AS546" i="22"/>
  <c r="BD546" i="22" s="1"/>
  <c r="AR546" i="22"/>
  <c r="BC546" i="22" s="1"/>
  <c r="AQ546" i="22"/>
  <c r="BB546" i="22" s="1"/>
  <c r="AP546" i="22"/>
  <c r="AO546" i="22"/>
  <c r="AZ546" i="22" s="1"/>
  <c r="AW545" i="22"/>
  <c r="BH545" i="22" s="1"/>
  <c r="AV545" i="22"/>
  <c r="AU545" i="22"/>
  <c r="BF545" i="22" s="1"/>
  <c r="AT545" i="22"/>
  <c r="BE545" i="22" s="1"/>
  <c r="AS545" i="22"/>
  <c r="AR545" i="22"/>
  <c r="AQ545" i="22"/>
  <c r="BB545" i="22" s="1"/>
  <c r="AP545" i="22"/>
  <c r="BA545" i="22" s="1"/>
  <c r="AO545" i="22"/>
  <c r="AZ545" i="22" s="1"/>
  <c r="AW544" i="22"/>
  <c r="AV544" i="22"/>
  <c r="AU544" i="22"/>
  <c r="BF544" i="22" s="1"/>
  <c r="AT544" i="22"/>
  <c r="BE544" i="22" s="1"/>
  <c r="AS544" i="22"/>
  <c r="BD544" i="22" s="1"/>
  <c r="AR544" i="22"/>
  <c r="AQ544" i="22"/>
  <c r="BB544" i="22" s="1"/>
  <c r="AP544" i="22"/>
  <c r="BA544" i="22" s="1"/>
  <c r="AO544" i="22"/>
  <c r="AW543" i="22"/>
  <c r="AV543" i="22"/>
  <c r="BG543" i="22" s="1"/>
  <c r="AU543" i="22"/>
  <c r="AT543" i="22"/>
  <c r="BE543" i="22" s="1"/>
  <c r="AS543" i="22"/>
  <c r="AR543" i="22"/>
  <c r="AQ543" i="22"/>
  <c r="BB543" i="22" s="1"/>
  <c r="AP543" i="22"/>
  <c r="AO543" i="22"/>
  <c r="AZ543" i="22" s="1"/>
  <c r="AW542" i="22"/>
  <c r="BH542" i="22" s="1"/>
  <c r="AV542" i="22"/>
  <c r="AU542" i="22"/>
  <c r="BF542" i="22" s="1"/>
  <c r="AT542" i="22"/>
  <c r="AS542" i="22"/>
  <c r="BD542" i="22" s="1"/>
  <c r="AR542" i="22"/>
  <c r="BC542" i="22" s="1"/>
  <c r="AQ542" i="22"/>
  <c r="BB542" i="22" s="1"/>
  <c r="AP542" i="22"/>
  <c r="AO542" i="22"/>
  <c r="AZ542" i="22" s="1"/>
  <c r="AW541" i="22"/>
  <c r="AV541" i="22"/>
  <c r="BG541" i="22" s="1"/>
  <c r="AU541" i="22"/>
  <c r="BF541" i="22" s="1"/>
  <c r="AT541" i="22"/>
  <c r="BE541" i="22" s="1"/>
  <c r="AS541" i="22"/>
  <c r="BD541" i="22" s="1"/>
  <c r="AR541" i="22"/>
  <c r="BC541" i="22" s="1"/>
  <c r="AQ541" i="22"/>
  <c r="AP541" i="22"/>
  <c r="AO541" i="22"/>
  <c r="AW540" i="22"/>
  <c r="AV540" i="22"/>
  <c r="BG540" i="22" s="1"/>
  <c r="AU540" i="22"/>
  <c r="BF540" i="22" s="1"/>
  <c r="AT540" i="22"/>
  <c r="BE540" i="22" s="1"/>
  <c r="AS540" i="22"/>
  <c r="AR540" i="22"/>
  <c r="AQ540" i="22"/>
  <c r="BB540" i="22" s="1"/>
  <c r="AP540" i="22"/>
  <c r="AO540" i="22"/>
  <c r="AZ540" i="22" s="1"/>
  <c r="AW539" i="22"/>
  <c r="BH539" i="22" s="1"/>
  <c r="AV539" i="22"/>
  <c r="BG539" i="22" s="1"/>
  <c r="AU539" i="22"/>
  <c r="BF539" i="22" s="1"/>
  <c r="AT539" i="22"/>
  <c r="BE539" i="22" s="1"/>
  <c r="AS539" i="22"/>
  <c r="AR539" i="22"/>
  <c r="BC539" i="22" s="1"/>
  <c r="AQ539" i="22"/>
  <c r="AP539" i="22"/>
  <c r="BA539" i="22" s="1"/>
  <c r="AO539" i="22"/>
  <c r="AZ539" i="22" s="1"/>
  <c r="AW538" i="22"/>
  <c r="BH538" i="22" s="1"/>
  <c r="AV538" i="22"/>
  <c r="BG538" i="22" s="1"/>
  <c r="AU538" i="22"/>
  <c r="BF538" i="22" s="1"/>
  <c r="AT538" i="22"/>
  <c r="AS538" i="22"/>
  <c r="BD538" i="22" s="1"/>
  <c r="AR538" i="22"/>
  <c r="AQ538" i="22"/>
  <c r="BB538" i="22" s="1"/>
  <c r="AP538" i="22"/>
  <c r="BA538" i="22" s="1"/>
  <c r="AO538" i="22"/>
  <c r="AZ538" i="22" s="1"/>
  <c r="AW537" i="22"/>
  <c r="BH537" i="22" s="1"/>
  <c r="AV537" i="22"/>
  <c r="BG537" i="22" s="1"/>
  <c r="AU537" i="22"/>
  <c r="BF537" i="22" s="1"/>
  <c r="AT537" i="22"/>
  <c r="BE537" i="22" s="1"/>
  <c r="AS537" i="22"/>
  <c r="BD537" i="22" s="1"/>
  <c r="AR537" i="22"/>
  <c r="BC537" i="22" s="1"/>
  <c r="AQ537" i="22"/>
  <c r="BB537" i="22" s="1"/>
  <c r="AP537" i="22"/>
  <c r="BA537" i="22" s="1"/>
  <c r="AO537" i="22"/>
  <c r="AZ537" i="22" s="1"/>
  <c r="AW536" i="22"/>
  <c r="BH536" i="22" s="1"/>
  <c r="AV536" i="22"/>
  <c r="AU536" i="22"/>
  <c r="BF536" i="22" s="1"/>
  <c r="AT536" i="22"/>
  <c r="AS536" i="22"/>
  <c r="BD536" i="22" s="1"/>
  <c r="AR536" i="22"/>
  <c r="BC536" i="22" s="1"/>
  <c r="AQ536" i="22"/>
  <c r="BB536" i="22" s="1"/>
  <c r="AP536" i="22"/>
  <c r="BA536" i="22" s="1"/>
  <c r="AO536" i="22"/>
  <c r="AZ536" i="22" s="1"/>
  <c r="AW535" i="22"/>
  <c r="AV535" i="22"/>
  <c r="BG535" i="22" s="1"/>
  <c r="AU535" i="22"/>
  <c r="BF535" i="22" s="1"/>
  <c r="AT535" i="22"/>
  <c r="BE535" i="22" s="1"/>
  <c r="AS535" i="22"/>
  <c r="AR535" i="22"/>
  <c r="BC535" i="22" s="1"/>
  <c r="AQ535" i="22"/>
  <c r="BB535" i="22" s="1"/>
  <c r="AP535" i="22"/>
  <c r="BA535" i="22" s="1"/>
  <c r="AO535" i="22"/>
  <c r="AZ535" i="22" s="1"/>
  <c r="AW534" i="22"/>
  <c r="AV534" i="22"/>
  <c r="AU534" i="22"/>
  <c r="AT534" i="22"/>
  <c r="BE534" i="22" s="1"/>
  <c r="AS534" i="22"/>
  <c r="BD534" i="22" s="1"/>
  <c r="AR534" i="22"/>
  <c r="BC534" i="22" s="1"/>
  <c r="AQ534" i="22"/>
  <c r="BB534" i="22" s="1"/>
  <c r="AP534" i="22"/>
  <c r="AO534" i="22"/>
  <c r="AW533" i="22"/>
  <c r="AV533" i="22"/>
  <c r="BG533" i="22" s="1"/>
  <c r="AU533" i="22"/>
  <c r="AT533" i="22"/>
  <c r="BE533" i="22" s="1"/>
  <c r="AS533" i="22"/>
  <c r="BD533" i="22" s="1"/>
  <c r="AR533" i="22"/>
  <c r="AQ533" i="22"/>
  <c r="BB533" i="22" s="1"/>
  <c r="AP533" i="22"/>
  <c r="BA533" i="22" s="1"/>
  <c r="AO533" i="22"/>
  <c r="AZ533" i="22" s="1"/>
  <c r="AW532" i="22"/>
  <c r="AV532" i="22"/>
  <c r="AU532" i="22"/>
  <c r="BF532" i="22" s="1"/>
  <c r="AT532" i="22"/>
  <c r="BE532" i="22" s="1"/>
  <c r="AS532" i="22"/>
  <c r="BD532" i="22" s="1"/>
  <c r="AR532" i="22"/>
  <c r="AQ532" i="22"/>
  <c r="BB532" i="22" s="1"/>
  <c r="AP532" i="22"/>
  <c r="AO532" i="22"/>
  <c r="AZ532" i="22" s="1"/>
  <c r="AW531" i="22"/>
  <c r="BH531" i="22" s="1"/>
  <c r="AV531" i="22"/>
  <c r="BG531" i="22" s="1"/>
  <c r="AU531" i="22"/>
  <c r="BF531" i="22" s="1"/>
  <c r="AT531" i="22"/>
  <c r="AS531" i="22"/>
  <c r="BD531" i="22" s="1"/>
  <c r="AR531" i="22"/>
  <c r="BC531" i="22" s="1"/>
  <c r="AQ531" i="22"/>
  <c r="AP531" i="22"/>
  <c r="BA531" i="22" s="1"/>
  <c r="AO531" i="22"/>
  <c r="AZ531" i="22" s="1"/>
  <c r="AW530" i="22"/>
  <c r="BH530" i="22" s="1"/>
  <c r="AV530" i="22"/>
  <c r="BG530" i="22" s="1"/>
  <c r="AU530" i="22"/>
  <c r="BF530" i="22" s="1"/>
  <c r="AT530" i="22"/>
  <c r="BE530" i="22" s="1"/>
  <c r="AS530" i="22"/>
  <c r="BD530" i="22" s="1"/>
  <c r="AR530" i="22"/>
  <c r="AQ530" i="22"/>
  <c r="AP530" i="22"/>
  <c r="BA530" i="22" s="1"/>
  <c r="AO530" i="22"/>
  <c r="AW529" i="22"/>
  <c r="AV529" i="22"/>
  <c r="BG529" i="22" s="1"/>
  <c r="AU529" i="22"/>
  <c r="BF529" i="22" s="1"/>
  <c r="AT529" i="22"/>
  <c r="BE529" i="22" s="1"/>
  <c r="AS529" i="22"/>
  <c r="AR529" i="22"/>
  <c r="BC529" i="22" s="1"/>
  <c r="AQ529" i="22"/>
  <c r="AP529" i="22"/>
  <c r="BA529" i="22" s="1"/>
  <c r="AO529" i="22"/>
  <c r="AW528" i="22"/>
  <c r="AV528" i="22"/>
  <c r="AU528" i="22"/>
  <c r="BF528" i="22" s="1"/>
  <c r="AT528" i="22"/>
  <c r="AS528" i="22"/>
  <c r="BD528" i="22" s="1"/>
  <c r="AR528" i="22"/>
  <c r="BC528" i="22" s="1"/>
  <c r="AQ528" i="22"/>
  <c r="BB528" i="22" s="1"/>
  <c r="AP528" i="22"/>
  <c r="BA528" i="22" s="1"/>
  <c r="AO528" i="22"/>
  <c r="AW527" i="22"/>
  <c r="BH527" i="22" s="1"/>
  <c r="AV527" i="22"/>
  <c r="BG527" i="22" s="1"/>
  <c r="AU527" i="22"/>
  <c r="AT527" i="22"/>
  <c r="BE527" i="22" s="1"/>
  <c r="AS527" i="22"/>
  <c r="BD527" i="22" s="1"/>
  <c r="AR527" i="22"/>
  <c r="BC527" i="22" s="1"/>
  <c r="AQ527" i="22"/>
  <c r="BB527" i="22" s="1"/>
  <c r="AP527" i="22"/>
  <c r="AO527" i="22"/>
  <c r="AW526" i="22"/>
  <c r="BH526" i="22" s="1"/>
  <c r="AV526" i="22"/>
  <c r="AU526" i="22"/>
  <c r="AT526" i="22"/>
  <c r="BE526" i="22" s="1"/>
  <c r="AS526" i="22"/>
  <c r="BD526" i="22" s="1"/>
  <c r="AR526" i="22"/>
  <c r="BC526" i="22" s="1"/>
  <c r="AQ526" i="22"/>
  <c r="BB526" i="22" s="1"/>
  <c r="AP526" i="22"/>
  <c r="AO526" i="22"/>
  <c r="AZ526" i="22" s="1"/>
  <c r="AW525" i="22"/>
  <c r="AV525" i="22"/>
  <c r="BG525" i="22" s="1"/>
  <c r="AU525" i="22"/>
  <c r="BF525" i="22" s="1"/>
  <c r="AT525" i="22"/>
  <c r="BE525" i="22" s="1"/>
  <c r="AS525" i="22"/>
  <c r="BD525" i="22" s="1"/>
  <c r="AR525" i="22"/>
  <c r="AQ525" i="22"/>
  <c r="BB525" i="22" s="1"/>
  <c r="AP525" i="22"/>
  <c r="BA525" i="22" s="1"/>
  <c r="AO525" i="22"/>
  <c r="AW524" i="22"/>
  <c r="BH524" i="22" s="1"/>
  <c r="AV524" i="22"/>
  <c r="AU524" i="22"/>
  <c r="BF524" i="22" s="1"/>
  <c r="AT524" i="22"/>
  <c r="BE524" i="22" s="1"/>
  <c r="AS524" i="22"/>
  <c r="AR524" i="22"/>
  <c r="AQ524" i="22"/>
  <c r="BB524" i="22" s="1"/>
  <c r="AP524" i="22"/>
  <c r="AO524" i="22"/>
  <c r="AW523" i="22"/>
  <c r="BH523" i="22" s="1"/>
  <c r="AV523" i="22"/>
  <c r="BG523" i="22" s="1"/>
  <c r="AU523" i="22"/>
  <c r="BF523" i="22" s="1"/>
  <c r="AT523" i="22"/>
  <c r="BE523" i="22" s="1"/>
  <c r="AS523" i="22"/>
  <c r="BD523" i="22" s="1"/>
  <c r="AR523" i="22"/>
  <c r="AQ523" i="22"/>
  <c r="AP523" i="22"/>
  <c r="BA523" i="22" s="1"/>
  <c r="AO523" i="22"/>
  <c r="BC525" i="22"/>
  <c r="AZ525" i="22"/>
  <c r="BH547" i="22"/>
  <c r="BG547" i="22"/>
  <c r="BE547" i="22"/>
  <c r="BC547" i="22"/>
  <c r="BB547" i="22"/>
  <c r="AZ547" i="22"/>
  <c r="BF546" i="22"/>
  <c r="BE546" i="22"/>
  <c r="BA546" i="22"/>
  <c r="BG545" i="22"/>
  <c r="BD545" i="22"/>
  <c r="BC545" i="22"/>
  <c r="BH544" i="22"/>
  <c r="AZ544" i="22"/>
  <c r="BD543" i="22"/>
  <c r="BA543" i="22"/>
  <c r="BG542" i="22"/>
  <c r="BE542" i="22"/>
  <c r="BA542" i="22"/>
  <c r="BH541" i="22"/>
  <c r="BB541" i="22"/>
  <c r="BA541" i="22"/>
  <c r="AZ541" i="22"/>
  <c r="BH540" i="22"/>
  <c r="BD540" i="22"/>
  <c r="BA540" i="22"/>
  <c r="BD539" i="22"/>
  <c r="BB539" i="22"/>
  <c r="BE538" i="22"/>
  <c r="BG536" i="22"/>
  <c r="BE536" i="22"/>
  <c r="BH535" i="22"/>
  <c r="BD535" i="22"/>
  <c r="BH534" i="22"/>
  <c r="BG534" i="22"/>
  <c r="BF534" i="22"/>
  <c r="BH533" i="22"/>
  <c r="BC533" i="22"/>
  <c r="BH532" i="22"/>
  <c r="BG532" i="22"/>
  <c r="BC532" i="22"/>
  <c r="BA532" i="22"/>
  <c r="BE531" i="22"/>
  <c r="BB531" i="22"/>
  <c r="BC530" i="22"/>
  <c r="BB530" i="22"/>
  <c r="BH529" i="22"/>
  <c r="BD529" i="22"/>
  <c r="BH528" i="22"/>
  <c r="BG528" i="22"/>
  <c r="BE528" i="22"/>
  <c r="AZ528" i="22"/>
  <c r="BF527" i="22"/>
  <c r="BA527" i="22"/>
  <c r="BG526" i="22"/>
  <c r="BF526" i="22"/>
  <c r="BA526" i="22"/>
  <c r="BH525" i="22"/>
  <c r="BG524" i="22"/>
  <c r="BD524" i="22"/>
  <c r="BA524" i="22"/>
  <c r="BB523" i="22"/>
  <c r="BC544" i="22"/>
  <c r="AW562" i="22"/>
  <c r="BH562" i="22" s="1"/>
  <c r="AV562" i="22"/>
  <c r="BG562" i="22" s="1"/>
  <c r="AU562" i="22"/>
  <c r="BF562" i="22" s="1"/>
  <c r="AT562" i="22"/>
  <c r="BE562" i="22" s="1"/>
  <c r="AS562" i="22"/>
  <c r="BD562" i="22" s="1"/>
  <c r="AR562" i="22"/>
  <c r="BC562" i="22" s="1"/>
  <c r="AQ562" i="22"/>
  <c r="BB562" i="22" s="1"/>
  <c r="AP562" i="22"/>
  <c r="BA562" i="22" s="1"/>
  <c r="AO562" i="22"/>
  <c r="AZ562" i="22" s="1"/>
  <c r="AW561" i="22"/>
  <c r="BH561" i="22" s="1"/>
  <c r="AV561" i="22"/>
  <c r="BG561" i="22" s="1"/>
  <c r="AU561" i="22"/>
  <c r="BF561" i="22" s="1"/>
  <c r="AT561" i="22"/>
  <c r="BE561" i="22" s="1"/>
  <c r="AS561" i="22"/>
  <c r="BD561" i="22" s="1"/>
  <c r="AR561" i="22"/>
  <c r="BC561" i="22" s="1"/>
  <c r="AQ561" i="22"/>
  <c r="BB561" i="22" s="1"/>
  <c r="AP561" i="22"/>
  <c r="BA561" i="22" s="1"/>
  <c r="AO561" i="22"/>
  <c r="AZ561" i="22" s="1"/>
  <c r="AW560" i="22"/>
  <c r="BH560" i="22" s="1"/>
  <c r="AV560" i="22"/>
  <c r="BG560" i="22" s="1"/>
  <c r="AU560" i="22"/>
  <c r="BF560" i="22" s="1"/>
  <c r="AT560" i="22"/>
  <c r="BE560" i="22" s="1"/>
  <c r="AS560" i="22"/>
  <c r="BD560" i="22" s="1"/>
  <c r="AR560" i="22"/>
  <c r="BC560" i="22" s="1"/>
  <c r="AQ560" i="22"/>
  <c r="BB560" i="22" s="1"/>
  <c r="AP560" i="22"/>
  <c r="BA560" i="22" s="1"/>
  <c r="AO560" i="22"/>
  <c r="AZ560" i="22" s="1"/>
  <c r="AW559" i="22"/>
  <c r="BH559" i="22" s="1"/>
  <c r="AV559" i="22"/>
  <c r="BG559" i="22" s="1"/>
  <c r="AU559" i="22"/>
  <c r="BF559" i="22" s="1"/>
  <c r="AT559" i="22"/>
  <c r="BE559" i="22" s="1"/>
  <c r="AS559" i="22"/>
  <c r="BD559" i="22" s="1"/>
  <c r="AR559" i="22"/>
  <c r="BC559" i="22" s="1"/>
  <c r="AQ559" i="22"/>
  <c r="BB559" i="22" s="1"/>
  <c r="AP559" i="22"/>
  <c r="BA559" i="22" s="1"/>
  <c r="AO559" i="22"/>
  <c r="AZ559" i="22" s="1"/>
  <c r="AW558" i="22"/>
  <c r="BH558" i="22" s="1"/>
  <c r="AV558" i="22"/>
  <c r="BG558" i="22" s="1"/>
  <c r="AU558" i="22"/>
  <c r="BF558" i="22" s="1"/>
  <c r="AT558" i="22"/>
  <c r="BE558" i="22" s="1"/>
  <c r="AS558" i="22"/>
  <c r="BD558" i="22" s="1"/>
  <c r="AR558" i="22"/>
  <c r="BC558" i="22" s="1"/>
  <c r="AQ558" i="22"/>
  <c r="BB558" i="22" s="1"/>
  <c r="AP558" i="22"/>
  <c r="BA558" i="22" s="1"/>
  <c r="AO558" i="22"/>
  <c r="AZ558" i="22" s="1"/>
  <c r="AW557" i="22"/>
  <c r="BH557" i="22" s="1"/>
  <c r="AV557" i="22"/>
  <c r="BG557" i="22" s="1"/>
  <c r="AU557" i="22"/>
  <c r="BF557" i="22" s="1"/>
  <c r="AT557" i="22"/>
  <c r="BE557" i="22" s="1"/>
  <c r="AS557" i="22"/>
  <c r="BD557" i="22" s="1"/>
  <c r="AR557" i="22"/>
  <c r="BC557" i="22" s="1"/>
  <c r="AQ557" i="22"/>
  <c r="BB557" i="22" s="1"/>
  <c r="AP557" i="22"/>
  <c r="BA557" i="22" s="1"/>
  <c r="AO557" i="22"/>
  <c r="AZ557" i="22" s="1"/>
  <c r="AW556" i="22"/>
  <c r="BH556" i="22" s="1"/>
  <c r="AV556" i="22"/>
  <c r="BG556" i="22" s="1"/>
  <c r="AU556" i="22"/>
  <c r="BF556" i="22" s="1"/>
  <c r="AT556" i="22"/>
  <c r="BE556" i="22" s="1"/>
  <c r="AS556" i="22"/>
  <c r="BD556" i="22" s="1"/>
  <c r="AR556" i="22"/>
  <c r="BC556" i="22" s="1"/>
  <c r="AQ556" i="22"/>
  <c r="BB556" i="22" s="1"/>
  <c r="AP556" i="22"/>
  <c r="BA556" i="22" s="1"/>
  <c r="AO556" i="22"/>
  <c r="AZ556" i="22" s="1"/>
  <c r="AW555" i="22"/>
  <c r="BH555" i="22" s="1"/>
  <c r="AV555" i="22"/>
  <c r="BG555" i="22" s="1"/>
  <c r="AU555" i="22"/>
  <c r="BF555" i="22" s="1"/>
  <c r="AT555" i="22"/>
  <c r="BE555" i="22" s="1"/>
  <c r="AS555" i="22"/>
  <c r="BD555" i="22" s="1"/>
  <c r="AR555" i="22"/>
  <c r="BC555" i="22" s="1"/>
  <c r="AQ555" i="22"/>
  <c r="BB555" i="22" s="1"/>
  <c r="AP555" i="22"/>
  <c r="BA555" i="22" s="1"/>
  <c r="AO555" i="22"/>
  <c r="AZ555" i="22" s="1"/>
  <c r="AW554" i="22"/>
  <c r="BH554" i="22" s="1"/>
  <c r="AV554" i="22"/>
  <c r="BG554" i="22" s="1"/>
  <c r="AU554" i="22"/>
  <c r="BF554" i="22" s="1"/>
  <c r="AT554" i="22"/>
  <c r="BE554" i="22" s="1"/>
  <c r="AS554" i="22"/>
  <c r="BD554" i="22" s="1"/>
  <c r="AR554" i="22"/>
  <c r="BC554" i="22" s="1"/>
  <c r="AQ554" i="22"/>
  <c r="BB554" i="22" s="1"/>
  <c r="AP554" i="22"/>
  <c r="BA554" i="22" s="1"/>
  <c r="AO554" i="22"/>
  <c r="AZ554" i="22" s="1"/>
  <c r="AW553" i="22"/>
  <c r="BH553" i="22" s="1"/>
  <c r="AV553" i="22"/>
  <c r="BG553" i="22" s="1"/>
  <c r="AU553" i="22"/>
  <c r="BF553" i="22" s="1"/>
  <c r="AT553" i="22"/>
  <c r="BE553" i="22" s="1"/>
  <c r="AS553" i="22"/>
  <c r="BD553" i="22" s="1"/>
  <c r="AR553" i="22"/>
  <c r="BC553" i="22" s="1"/>
  <c r="AQ553" i="22"/>
  <c r="BB553" i="22" s="1"/>
  <c r="AP553" i="22"/>
  <c r="BA553" i="22" s="1"/>
  <c r="AO553" i="22"/>
  <c r="AZ553" i="22" s="1"/>
  <c r="AW552" i="22"/>
  <c r="BH552" i="22" s="1"/>
  <c r="AV552" i="22"/>
  <c r="BG552" i="22" s="1"/>
  <c r="AU552" i="22"/>
  <c r="BF552" i="22" s="1"/>
  <c r="AT552" i="22"/>
  <c r="BE552" i="22" s="1"/>
  <c r="AS552" i="22"/>
  <c r="BD552" i="22" s="1"/>
  <c r="AR552" i="22"/>
  <c r="BC552" i="22" s="1"/>
  <c r="AQ552" i="22"/>
  <c r="BB552" i="22" s="1"/>
  <c r="AP552" i="22"/>
  <c r="BA552" i="22" s="1"/>
  <c r="AO552" i="22"/>
  <c r="AZ552" i="22" s="1"/>
  <c r="AW551" i="22"/>
  <c r="BH551" i="22" s="1"/>
  <c r="AV551" i="22"/>
  <c r="BG551" i="22" s="1"/>
  <c r="AU551" i="22"/>
  <c r="BF551" i="22" s="1"/>
  <c r="AT551" i="22"/>
  <c r="BE551" i="22" s="1"/>
  <c r="AS551" i="22"/>
  <c r="BD551" i="22" s="1"/>
  <c r="AR551" i="22"/>
  <c r="BC551" i="22" s="1"/>
  <c r="AQ551" i="22"/>
  <c r="BB551" i="22" s="1"/>
  <c r="AP551" i="22"/>
  <c r="BA551" i="22" s="1"/>
  <c r="AO551" i="22"/>
  <c r="AZ551" i="22" s="1"/>
  <c r="AW550" i="22"/>
  <c r="BH550" i="22" s="1"/>
  <c r="AV550" i="22"/>
  <c r="BG550" i="22" s="1"/>
  <c r="AU550" i="22"/>
  <c r="BF550" i="22" s="1"/>
  <c r="AT550" i="22"/>
  <c r="BE550" i="22" s="1"/>
  <c r="AS550" i="22"/>
  <c r="BD550" i="22" s="1"/>
  <c r="AR550" i="22"/>
  <c r="BC550" i="22" s="1"/>
  <c r="AQ550" i="22"/>
  <c r="BB550" i="22" s="1"/>
  <c r="AP550" i="22"/>
  <c r="BA550" i="22" s="1"/>
  <c r="AO550" i="22"/>
  <c r="AZ550" i="22" s="1"/>
  <c r="AW549" i="22"/>
  <c r="BH549" i="22" s="1"/>
  <c r="AV549" i="22"/>
  <c r="BG549" i="22" s="1"/>
  <c r="AU549" i="22"/>
  <c r="BF549" i="22" s="1"/>
  <c r="AT549" i="22"/>
  <c r="BE549" i="22" s="1"/>
  <c r="AS549" i="22"/>
  <c r="BD549" i="22" s="1"/>
  <c r="AR549" i="22"/>
  <c r="BC549" i="22" s="1"/>
  <c r="AQ549" i="22"/>
  <c r="BB549" i="22" s="1"/>
  <c r="AP549" i="22"/>
  <c r="BA549" i="22" s="1"/>
  <c r="AO549" i="22"/>
  <c r="AZ549" i="22" s="1"/>
  <c r="AW548" i="22"/>
  <c r="BH548" i="22" s="1"/>
  <c r="AV548" i="22"/>
  <c r="BG548" i="22" s="1"/>
  <c r="AU548" i="22"/>
  <c r="BF548" i="22" s="1"/>
  <c r="AT548" i="22"/>
  <c r="BE548" i="22" s="1"/>
  <c r="AS548" i="22"/>
  <c r="BD548" i="22" s="1"/>
  <c r="AR548" i="22"/>
  <c r="BC548" i="22" s="1"/>
  <c r="AQ548" i="22"/>
  <c r="BB548" i="22" s="1"/>
  <c r="AP548" i="22"/>
  <c r="BA548" i="22" s="1"/>
  <c r="AO548" i="22"/>
  <c r="AZ548" i="22" s="1"/>
  <c r="BG544" i="22"/>
  <c r="BH543" i="22"/>
  <c r="BF543" i="22"/>
  <c r="BC543" i="22"/>
  <c r="BC540" i="22"/>
  <c r="BC538" i="22"/>
  <c r="BA534" i="22"/>
  <c r="AZ534" i="22"/>
  <c r="BF533" i="22"/>
  <c r="BB529" i="22"/>
  <c r="AW521" i="22"/>
  <c r="BH521" i="22" s="1"/>
  <c r="AV521" i="22"/>
  <c r="BG521" i="22" s="1"/>
  <c r="AU521" i="22"/>
  <c r="BF521" i="22" s="1"/>
  <c r="AT521" i="22"/>
  <c r="BE521" i="22" s="1"/>
  <c r="AS521" i="22"/>
  <c r="BD521" i="22" s="1"/>
  <c r="AR521" i="22"/>
  <c r="BC521" i="22" s="1"/>
  <c r="AQ521" i="22"/>
  <c r="BB521" i="22" s="1"/>
  <c r="AP521" i="22"/>
  <c r="BA521" i="22" s="1"/>
  <c r="AO521" i="22"/>
  <c r="AZ521" i="22" s="1"/>
  <c r="AW520" i="22"/>
  <c r="BH520" i="22" s="1"/>
  <c r="AV520" i="22"/>
  <c r="BG520" i="22" s="1"/>
  <c r="AU520" i="22"/>
  <c r="BF520" i="22" s="1"/>
  <c r="AT520" i="22"/>
  <c r="BE520" i="22" s="1"/>
  <c r="AS520" i="22"/>
  <c r="BD520" i="22" s="1"/>
  <c r="AR520" i="22"/>
  <c r="BC520" i="22" s="1"/>
  <c r="AQ520" i="22"/>
  <c r="BB520" i="22" s="1"/>
  <c r="AP520" i="22"/>
  <c r="BA520" i="22" s="1"/>
  <c r="AO520" i="22"/>
  <c r="AZ520" i="22" s="1"/>
  <c r="AW519" i="22"/>
  <c r="BH519" i="22" s="1"/>
  <c r="AV519" i="22"/>
  <c r="BG519" i="22" s="1"/>
  <c r="AU519" i="22"/>
  <c r="BF519" i="22" s="1"/>
  <c r="AT519" i="22"/>
  <c r="BE519" i="22" s="1"/>
  <c r="AS519" i="22"/>
  <c r="BD519" i="22" s="1"/>
  <c r="AR519" i="22"/>
  <c r="BC519" i="22" s="1"/>
  <c r="AQ519" i="22"/>
  <c r="BB519" i="22" s="1"/>
  <c r="AP519" i="22"/>
  <c r="BA519" i="22" s="1"/>
  <c r="AO519" i="22"/>
  <c r="AZ519" i="22" s="1"/>
  <c r="AW518" i="22"/>
  <c r="BH518" i="22" s="1"/>
  <c r="AV518" i="22"/>
  <c r="BG518" i="22" s="1"/>
  <c r="AU518" i="22"/>
  <c r="BF518" i="22" s="1"/>
  <c r="AT518" i="22"/>
  <c r="BE518" i="22" s="1"/>
  <c r="AS518" i="22"/>
  <c r="BD518" i="22" s="1"/>
  <c r="AR518" i="22"/>
  <c r="BC518" i="22" s="1"/>
  <c r="AQ518" i="22"/>
  <c r="BB518" i="22" s="1"/>
  <c r="AP518" i="22"/>
  <c r="BA518" i="22" s="1"/>
  <c r="AO518" i="22"/>
  <c r="AZ518" i="22" s="1"/>
  <c r="AW517" i="22"/>
  <c r="BH517" i="22" s="1"/>
  <c r="AV517" i="22"/>
  <c r="BG517" i="22" s="1"/>
  <c r="AU517" i="22"/>
  <c r="BF517" i="22" s="1"/>
  <c r="AT517" i="22"/>
  <c r="BE517" i="22" s="1"/>
  <c r="AS517" i="22"/>
  <c r="BD517" i="22" s="1"/>
  <c r="AR517" i="22"/>
  <c r="BC517" i="22" s="1"/>
  <c r="AQ517" i="22"/>
  <c r="BB517" i="22" s="1"/>
  <c r="AP517" i="22"/>
  <c r="BA517" i="22" s="1"/>
  <c r="AO517" i="22"/>
  <c r="AZ517" i="22" s="1"/>
  <c r="AW516" i="22"/>
  <c r="BH516" i="22" s="1"/>
  <c r="AV516" i="22"/>
  <c r="BG516" i="22" s="1"/>
  <c r="AU516" i="22"/>
  <c r="BF516" i="22" s="1"/>
  <c r="AT516" i="22"/>
  <c r="BE516" i="22" s="1"/>
  <c r="AS516" i="22"/>
  <c r="BD516" i="22" s="1"/>
  <c r="AR516" i="22"/>
  <c r="BC516" i="22" s="1"/>
  <c r="AQ516" i="22"/>
  <c r="BB516" i="22" s="1"/>
  <c r="AP516" i="22"/>
  <c r="BA516" i="22" s="1"/>
  <c r="AO516" i="22"/>
  <c r="AZ516" i="22" s="1"/>
  <c r="AW515" i="22"/>
  <c r="BH515" i="22" s="1"/>
  <c r="AV515" i="22"/>
  <c r="BG515" i="22" s="1"/>
  <c r="AU515" i="22"/>
  <c r="BF515" i="22" s="1"/>
  <c r="AT515" i="22"/>
  <c r="BE515" i="22" s="1"/>
  <c r="AS515" i="22"/>
  <c r="BD515" i="22" s="1"/>
  <c r="AR515" i="22"/>
  <c r="BC515" i="22" s="1"/>
  <c r="AQ515" i="22"/>
  <c r="BB515" i="22" s="1"/>
  <c r="AP515" i="22"/>
  <c r="BA515" i="22" s="1"/>
  <c r="AO515" i="22"/>
  <c r="AZ515" i="22" s="1"/>
  <c r="AW514" i="22"/>
  <c r="BH514" i="22" s="1"/>
  <c r="AV514" i="22"/>
  <c r="BG514" i="22" s="1"/>
  <c r="AU514" i="22"/>
  <c r="BF514" i="22" s="1"/>
  <c r="AT514" i="22"/>
  <c r="BE514" i="22" s="1"/>
  <c r="AS514" i="22"/>
  <c r="BD514" i="22" s="1"/>
  <c r="AR514" i="22"/>
  <c r="BC514" i="22" s="1"/>
  <c r="AQ514" i="22"/>
  <c r="BB514" i="22" s="1"/>
  <c r="AP514" i="22"/>
  <c r="BA514" i="22" s="1"/>
  <c r="AO514" i="22"/>
  <c r="AZ514" i="22" s="1"/>
  <c r="AW513" i="22"/>
  <c r="BH513" i="22" s="1"/>
  <c r="AV513" i="22"/>
  <c r="BG513" i="22" s="1"/>
  <c r="AU513" i="22"/>
  <c r="BF513" i="22" s="1"/>
  <c r="AT513" i="22"/>
  <c r="BE513" i="22" s="1"/>
  <c r="AS513" i="22"/>
  <c r="BD513" i="22" s="1"/>
  <c r="AR513" i="22"/>
  <c r="BC513" i="22" s="1"/>
  <c r="AQ513" i="22"/>
  <c r="BB513" i="22" s="1"/>
  <c r="AP513" i="22"/>
  <c r="BA513" i="22" s="1"/>
  <c r="AO513" i="22"/>
  <c r="AZ513" i="22" s="1"/>
  <c r="AW512" i="22"/>
  <c r="BH512" i="22" s="1"/>
  <c r="AV512" i="22"/>
  <c r="BG512" i="22" s="1"/>
  <c r="AU512" i="22"/>
  <c r="BF512" i="22" s="1"/>
  <c r="AT512" i="22"/>
  <c r="BE512" i="22" s="1"/>
  <c r="AS512" i="22"/>
  <c r="BD512" i="22" s="1"/>
  <c r="AR512" i="22"/>
  <c r="BC512" i="22" s="1"/>
  <c r="AQ512" i="22"/>
  <c r="BB512" i="22" s="1"/>
  <c r="AP512" i="22"/>
  <c r="BA512" i="22" s="1"/>
  <c r="AO512" i="22"/>
  <c r="AZ512" i="22" s="1"/>
  <c r="AW511" i="22"/>
  <c r="BH511" i="22" s="1"/>
  <c r="AV511" i="22"/>
  <c r="BG511" i="22" s="1"/>
  <c r="AU511" i="22"/>
  <c r="BF511" i="22" s="1"/>
  <c r="AT511" i="22"/>
  <c r="BE511" i="22" s="1"/>
  <c r="AS511" i="22"/>
  <c r="BD511" i="22" s="1"/>
  <c r="AR511" i="22"/>
  <c r="BC511" i="22" s="1"/>
  <c r="AQ511" i="22"/>
  <c r="BB511" i="22" s="1"/>
  <c r="AP511" i="22"/>
  <c r="BA511" i="22" s="1"/>
  <c r="AO511" i="22"/>
  <c r="AZ511" i="22" s="1"/>
  <c r="AW510" i="22"/>
  <c r="BH510" i="22" s="1"/>
  <c r="AV510" i="22"/>
  <c r="BG510" i="22" s="1"/>
  <c r="AU510" i="22"/>
  <c r="BF510" i="22" s="1"/>
  <c r="AT510" i="22"/>
  <c r="BE510" i="22" s="1"/>
  <c r="AS510" i="22"/>
  <c r="BD510" i="22" s="1"/>
  <c r="AR510" i="22"/>
  <c r="BC510" i="22" s="1"/>
  <c r="AQ510" i="22"/>
  <c r="BB510" i="22" s="1"/>
  <c r="AP510" i="22"/>
  <c r="BA510" i="22" s="1"/>
  <c r="AO510" i="22"/>
  <c r="AZ510" i="22" s="1"/>
  <c r="AW509" i="22"/>
  <c r="BH509" i="22" s="1"/>
  <c r="AV509" i="22"/>
  <c r="BG509" i="22" s="1"/>
  <c r="AU509" i="22"/>
  <c r="BF509" i="22" s="1"/>
  <c r="AT509" i="22"/>
  <c r="BE509" i="22" s="1"/>
  <c r="AS509" i="22"/>
  <c r="BD509" i="22" s="1"/>
  <c r="AR509" i="22"/>
  <c r="BC509" i="22" s="1"/>
  <c r="AQ509" i="22"/>
  <c r="BB509" i="22" s="1"/>
  <c r="AP509" i="22"/>
  <c r="BA509" i="22" s="1"/>
  <c r="AO509" i="22"/>
  <c r="AZ509" i="22" s="1"/>
  <c r="AW508" i="22"/>
  <c r="BH508" i="22" s="1"/>
  <c r="AV508" i="22"/>
  <c r="BG508" i="22" s="1"/>
  <c r="AU508" i="22"/>
  <c r="BF508" i="22" s="1"/>
  <c r="AT508" i="22"/>
  <c r="BE508" i="22" s="1"/>
  <c r="AS508" i="22"/>
  <c r="BD508" i="22" s="1"/>
  <c r="AR508" i="22"/>
  <c r="BC508" i="22" s="1"/>
  <c r="AQ508" i="22"/>
  <c r="BB508" i="22" s="1"/>
  <c r="AP508" i="22"/>
  <c r="BA508" i="22" s="1"/>
  <c r="AO508" i="22"/>
  <c r="AZ508" i="22" s="1"/>
  <c r="AW507" i="22"/>
  <c r="BH507" i="22" s="1"/>
  <c r="AV507" i="22"/>
  <c r="BG507" i="22" s="1"/>
  <c r="AU507" i="22"/>
  <c r="BF507" i="22" s="1"/>
  <c r="AT507" i="22"/>
  <c r="BE507" i="22" s="1"/>
  <c r="AS507" i="22"/>
  <c r="BD507" i="22" s="1"/>
  <c r="AR507" i="22"/>
  <c r="BC507" i="22" s="1"/>
  <c r="AQ507" i="22"/>
  <c r="BB507" i="22" s="1"/>
  <c r="AP507" i="22"/>
  <c r="BA507" i="22" s="1"/>
  <c r="AO507" i="22"/>
  <c r="AZ507" i="22" s="1"/>
  <c r="AW506" i="22"/>
  <c r="BH506" i="22" s="1"/>
  <c r="AV506" i="22"/>
  <c r="BG506" i="22" s="1"/>
  <c r="AU506" i="22"/>
  <c r="BF506" i="22" s="1"/>
  <c r="AT506" i="22"/>
  <c r="BE506" i="22" s="1"/>
  <c r="AS506" i="22"/>
  <c r="BD506" i="22" s="1"/>
  <c r="AR506" i="22"/>
  <c r="BC506" i="22" s="1"/>
  <c r="AQ506" i="22"/>
  <c r="BB506" i="22" s="1"/>
  <c r="AP506" i="22"/>
  <c r="BA506" i="22" s="1"/>
  <c r="AO506" i="22"/>
  <c r="AZ506" i="22" s="1"/>
  <c r="AW505" i="22"/>
  <c r="BH505" i="22" s="1"/>
  <c r="AV505" i="22"/>
  <c r="BG505" i="22" s="1"/>
  <c r="AU505" i="22"/>
  <c r="BF505" i="22" s="1"/>
  <c r="AT505" i="22"/>
  <c r="BE505" i="22" s="1"/>
  <c r="AS505" i="22"/>
  <c r="BD505" i="22" s="1"/>
  <c r="AR505" i="22"/>
  <c r="BC505" i="22" s="1"/>
  <c r="AQ505" i="22"/>
  <c r="BB505" i="22" s="1"/>
  <c r="AP505" i="22"/>
  <c r="BA505" i="22" s="1"/>
  <c r="AO505" i="22"/>
  <c r="AZ505" i="22" s="1"/>
  <c r="AW504" i="22"/>
  <c r="BH504" i="22" s="1"/>
  <c r="AV504" i="22"/>
  <c r="BG504" i="22" s="1"/>
  <c r="AU504" i="22"/>
  <c r="BF504" i="22" s="1"/>
  <c r="AT504" i="22"/>
  <c r="BE504" i="22" s="1"/>
  <c r="AS504" i="22"/>
  <c r="BD504" i="22" s="1"/>
  <c r="AR504" i="22"/>
  <c r="BC504" i="22" s="1"/>
  <c r="AQ504" i="22"/>
  <c r="BB504" i="22" s="1"/>
  <c r="AP504" i="22"/>
  <c r="BA504" i="22" s="1"/>
  <c r="AO504" i="22"/>
  <c r="AZ504" i="22" s="1"/>
  <c r="AW503" i="22"/>
  <c r="BH503" i="22" s="1"/>
  <c r="AV503" i="22"/>
  <c r="BG503" i="22" s="1"/>
  <c r="AU503" i="22"/>
  <c r="BF503" i="22" s="1"/>
  <c r="AT503" i="22"/>
  <c r="BE503" i="22" s="1"/>
  <c r="AS503" i="22"/>
  <c r="BD503" i="22" s="1"/>
  <c r="AR503" i="22"/>
  <c r="BC503" i="22" s="1"/>
  <c r="AQ503" i="22"/>
  <c r="BB503" i="22" s="1"/>
  <c r="AP503" i="22"/>
  <c r="BA503" i="22" s="1"/>
  <c r="AO503" i="22"/>
  <c r="AZ503" i="22" s="1"/>
  <c r="AW502" i="22"/>
  <c r="BH502" i="22" s="1"/>
  <c r="AV502" i="22"/>
  <c r="BG502" i="22" s="1"/>
  <c r="AU502" i="22"/>
  <c r="BF502" i="22" s="1"/>
  <c r="AT502" i="22"/>
  <c r="BE502" i="22" s="1"/>
  <c r="AS502" i="22"/>
  <c r="BD502" i="22" s="1"/>
  <c r="AR502" i="22"/>
  <c r="BC502" i="22" s="1"/>
  <c r="AQ502" i="22"/>
  <c r="BB502" i="22" s="1"/>
  <c r="AP502" i="22"/>
  <c r="BA502" i="22" s="1"/>
  <c r="AO502" i="22"/>
  <c r="AZ502" i="22" s="1"/>
  <c r="AW501" i="22"/>
  <c r="BH501" i="22" s="1"/>
  <c r="AV501" i="22"/>
  <c r="BG501" i="22" s="1"/>
  <c r="AU501" i="22"/>
  <c r="BF501" i="22" s="1"/>
  <c r="AT501" i="22"/>
  <c r="BE501" i="22" s="1"/>
  <c r="AS501" i="22"/>
  <c r="BD501" i="22" s="1"/>
  <c r="AR501" i="22"/>
  <c r="BC501" i="22" s="1"/>
  <c r="AQ501" i="22"/>
  <c r="BB501" i="22" s="1"/>
  <c r="AP501" i="22"/>
  <c r="BA501" i="22" s="1"/>
  <c r="AO501" i="22"/>
  <c r="AZ501" i="22" s="1"/>
  <c r="AW500" i="22"/>
  <c r="BH500" i="22" s="1"/>
  <c r="AV500" i="22"/>
  <c r="BG500" i="22" s="1"/>
  <c r="AU500" i="22"/>
  <c r="BF500" i="22" s="1"/>
  <c r="AT500" i="22"/>
  <c r="BE500" i="22" s="1"/>
  <c r="AS500" i="22"/>
  <c r="BD500" i="22" s="1"/>
  <c r="AR500" i="22"/>
  <c r="BC500" i="22" s="1"/>
  <c r="AQ500" i="22"/>
  <c r="BB500" i="22" s="1"/>
  <c r="AP500" i="22"/>
  <c r="BA500" i="22" s="1"/>
  <c r="AO500" i="22"/>
  <c r="AZ500" i="22" s="1"/>
  <c r="AW499" i="22"/>
  <c r="BH499" i="22" s="1"/>
  <c r="AV499" i="22"/>
  <c r="BG499" i="22" s="1"/>
  <c r="AU499" i="22"/>
  <c r="BF499" i="22" s="1"/>
  <c r="AT499" i="22"/>
  <c r="BE499" i="22" s="1"/>
  <c r="AS499" i="22"/>
  <c r="BD499" i="22" s="1"/>
  <c r="AR499" i="22"/>
  <c r="BC499" i="22" s="1"/>
  <c r="AQ499" i="22"/>
  <c r="BB499" i="22" s="1"/>
  <c r="AP499" i="22"/>
  <c r="BA499" i="22" s="1"/>
  <c r="AO499" i="22"/>
  <c r="AZ499" i="22" s="1"/>
  <c r="AW498" i="22"/>
  <c r="BH498" i="22" s="1"/>
  <c r="AV498" i="22"/>
  <c r="BG498" i="22" s="1"/>
  <c r="AU498" i="22"/>
  <c r="BF498" i="22" s="1"/>
  <c r="AT498" i="22"/>
  <c r="BE498" i="22" s="1"/>
  <c r="AS498" i="22"/>
  <c r="BD498" i="22" s="1"/>
  <c r="AR498" i="22"/>
  <c r="BC498" i="22" s="1"/>
  <c r="AQ498" i="22"/>
  <c r="BB498" i="22" s="1"/>
  <c r="AP498" i="22"/>
  <c r="BA498" i="22" s="1"/>
  <c r="AO498" i="22"/>
  <c r="AZ498" i="22" s="1"/>
  <c r="AW497" i="22"/>
  <c r="BH497" i="22" s="1"/>
  <c r="AV497" i="22"/>
  <c r="BG497" i="22" s="1"/>
  <c r="AU497" i="22"/>
  <c r="BF497" i="22" s="1"/>
  <c r="AT497" i="22"/>
  <c r="BE497" i="22" s="1"/>
  <c r="AS497" i="22"/>
  <c r="BD497" i="22" s="1"/>
  <c r="AR497" i="22"/>
  <c r="BC497" i="22" s="1"/>
  <c r="AQ497" i="22"/>
  <c r="BB497" i="22" s="1"/>
  <c r="AP497" i="22"/>
  <c r="BA497" i="22" s="1"/>
  <c r="AO497" i="22"/>
  <c r="AZ497" i="22" s="1"/>
  <c r="AW496" i="22"/>
  <c r="BH496" i="22" s="1"/>
  <c r="AV496" i="22"/>
  <c r="BG496" i="22" s="1"/>
  <c r="AU496" i="22"/>
  <c r="BF496" i="22" s="1"/>
  <c r="AT496" i="22"/>
  <c r="BE496" i="22" s="1"/>
  <c r="AS496" i="22"/>
  <c r="BD496" i="22" s="1"/>
  <c r="AR496" i="22"/>
  <c r="BC496" i="22" s="1"/>
  <c r="AQ496" i="22"/>
  <c r="BB496" i="22" s="1"/>
  <c r="AP496" i="22"/>
  <c r="BA496" i="22" s="1"/>
  <c r="AO496" i="22"/>
  <c r="AZ496" i="22" s="1"/>
  <c r="AW495" i="22"/>
  <c r="BH495" i="22" s="1"/>
  <c r="AV495" i="22"/>
  <c r="BG495" i="22" s="1"/>
  <c r="AU495" i="22"/>
  <c r="BF495" i="22" s="1"/>
  <c r="AT495" i="22"/>
  <c r="BE495" i="22" s="1"/>
  <c r="AS495" i="22"/>
  <c r="BD495" i="22" s="1"/>
  <c r="AR495" i="22"/>
  <c r="BC495" i="22" s="1"/>
  <c r="AQ495" i="22"/>
  <c r="BB495" i="22" s="1"/>
  <c r="AP495" i="22"/>
  <c r="BA495" i="22" s="1"/>
  <c r="AO495" i="22"/>
  <c r="AZ495" i="22" s="1"/>
  <c r="AW494" i="22"/>
  <c r="BH494" i="22" s="1"/>
  <c r="AV494" i="22"/>
  <c r="BG494" i="22" s="1"/>
  <c r="AU494" i="22"/>
  <c r="BF494" i="22" s="1"/>
  <c r="AT494" i="22"/>
  <c r="BE494" i="22" s="1"/>
  <c r="AS494" i="22"/>
  <c r="BD494" i="22" s="1"/>
  <c r="AR494" i="22"/>
  <c r="BC494" i="22" s="1"/>
  <c r="AQ494" i="22"/>
  <c r="BB494" i="22" s="1"/>
  <c r="AP494" i="22"/>
  <c r="BA494" i="22" s="1"/>
  <c r="AO494" i="22"/>
  <c r="AZ494" i="22" s="1"/>
  <c r="AW493" i="22"/>
  <c r="BH493" i="22" s="1"/>
  <c r="AV493" i="22"/>
  <c r="BG493" i="22" s="1"/>
  <c r="AU493" i="22"/>
  <c r="BF493" i="22" s="1"/>
  <c r="AT493" i="22"/>
  <c r="BE493" i="22" s="1"/>
  <c r="AS493" i="22"/>
  <c r="BD493" i="22" s="1"/>
  <c r="AR493" i="22"/>
  <c r="BC493" i="22" s="1"/>
  <c r="AQ493" i="22"/>
  <c r="BB493" i="22" s="1"/>
  <c r="AP493" i="22"/>
  <c r="BA493" i="22" s="1"/>
  <c r="AO493" i="22"/>
  <c r="AZ493" i="22" s="1"/>
  <c r="AW492" i="22"/>
  <c r="BH492" i="22" s="1"/>
  <c r="AV492" i="22"/>
  <c r="BG492" i="22" s="1"/>
  <c r="AU492" i="22"/>
  <c r="BF492" i="22" s="1"/>
  <c r="AT492" i="22"/>
  <c r="BE492" i="22" s="1"/>
  <c r="AS492" i="22"/>
  <c r="BD492" i="22" s="1"/>
  <c r="AR492" i="22"/>
  <c r="BC492" i="22" s="1"/>
  <c r="AQ492" i="22"/>
  <c r="BB492" i="22" s="1"/>
  <c r="AP492" i="22"/>
  <c r="BA492" i="22" s="1"/>
  <c r="AO492" i="22"/>
  <c r="AZ492" i="22" s="1"/>
  <c r="AW491" i="22"/>
  <c r="BH491" i="22" s="1"/>
  <c r="AV491" i="22"/>
  <c r="BG491" i="22" s="1"/>
  <c r="AU491" i="22"/>
  <c r="BF491" i="22" s="1"/>
  <c r="AT491" i="22"/>
  <c r="BE491" i="22" s="1"/>
  <c r="AS491" i="22"/>
  <c r="BD491" i="22" s="1"/>
  <c r="AR491" i="22"/>
  <c r="BC491" i="22" s="1"/>
  <c r="AQ491" i="22"/>
  <c r="BB491" i="22" s="1"/>
  <c r="AP491" i="22"/>
  <c r="BA491" i="22" s="1"/>
  <c r="AO491" i="22"/>
  <c r="AZ491" i="22" s="1"/>
  <c r="AW490" i="22"/>
  <c r="BH490" i="22" s="1"/>
  <c r="AV490" i="22"/>
  <c r="BG490" i="22" s="1"/>
  <c r="AU490" i="22"/>
  <c r="BF490" i="22" s="1"/>
  <c r="AT490" i="22"/>
  <c r="BE490" i="22" s="1"/>
  <c r="AS490" i="22"/>
  <c r="BD490" i="22" s="1"/>
  <c r="AR490" i="22"/>
  <c r="BC490" i="22" s="1"/>
  <c r="AQ490" i="22"/>
  <c r="BB490" i="22" s="1"/>
  <c r="AP490" i="22"/>
  <c r="BA490" i="22" s="1"/>
  <c r="AO490" i="22"/>
  <c r="AZ490" i="22" s="1"/>
  <c r="AW489" i="22"/>
  <c r="BH489" i="22" s="1"/>
  <c r="AV489" i="22"/>
  <c r="BG489" i="22" s="1"/>
  <c r="AU489" i="22"/>
  <c r="BF489" i="22" s="1"/>
  <c r="AT489" i="22"/>
  <c r="BE489" i="22" s="1"/>
  <c r="AS489" i="22"/>
  <c r="BD489" i="22" s="1"/>
  <c r="AR489" i="22"/>
  <c r="BC489" i="22" s="1"/>
  <c r="AQ489" i="22"/>
  <c r="BB489" i="22" s="1"/>
  <c r="AP489" i="22"/>
  <c r="BA489" i="22" s="1"/>
  <c r="AO489" i="22"/>
  <c r="AZ489" i="22" s="1"/>
  <c r="AW488" i="22"/>
  <c r="BH488" i="22" s="1"/>
  <c r="AV488" i="22"/>
  <c r="BG488" i="22" s="1"/>
  <c r="AU488" i="22"/>
  <c r="BF488" i="22" s="1"/>
  <c r="AT488" i="22"/>
  <c r="BE488" i="22" s="1"/>
  <c r="AS488" i="22"/>
  <c r="BD488" i="22" s="1"/>
  <c r="AR488" i="22"/>
  <c r="BC488" i="22" s="1"/>
  <c r="AQ488" i="22"/>
  <c r="BB488" i="22" s="1"/>
  <c r="AP488" i="22"/>
  <c r="BA488" i="22" s="1"/>
  <c r="AO488" i="22"/>
  <c r="AZ488" i="22" s="1"/>
  <c r="AW487" i="22"/>
  <c r="BH487" i="22" s="1"/>
  <c r="AV487" i="22"/>
  <c r="BG487" i="22" s="1"/>
  <c r="AU487" i="22"/>
  <c r="BF487" i="22" s="1"/>
  <c r="AT487" i="22"/>
  <c r="BE487" i="22" s="1"/>
  <c r="AS487" i="22"/>
  <c r="BD487" i="22" s="1"/>
  <c r="AR487" i="22"/>
  <c r="BC487" i="22" s="1"/>
  <c r="AQ487" i="22"/>
  <c r="BB487" i="22" s="1"/>
  <c r="AP487" i="22"/>
  <c r="BA487" i="22" s="1"/>
  <c r="AO487" i="22"/>
  <c r="AZ487" i="22" s="1"/>
  <c r="AW486" i="22"/>
  <c r="BH486" i="22" s="1"/>
  <c r="AV486" i="22"/>
  <c r="BG486" i="22" s="1"/>
  <c r="AU486" i="22"/>
  <c r="BF486" i="22" s="1"/>
  <c r="AT486" i="22"/>
  <c r="BE486" i="22" s="1"/>
  <c r="AS486" i="22"/>
  <c r="BD486" i="22" s="1"/>
  <c r="AR486" i="22"/>
  <c r="BC486" i="22" s="1"/>
  <c r="AQ486" i="22"/>
  <c r="BB486" i="22" s="1"/>
  <c r="AP486" i="22"/>
  <c r="BA486" i="22" s="1"/>
  <c r="AO486" i="22"/>
  <c r="AZ486" i="22" s="1"/>
  <c r="AW485" i="22"/>
  <c r="BH485" i="22" s="1"/>
  <c r="AV485" i="22"/>
  <c r="BG485" i="22" s="1"/>
  <c r="AU485" i="22"/>
  <c r="BF485" i="22" s="1"/>
  <c r="AT485" i="22"/>
  <c r="BE485" i="22" s="1"/>
  <c r="AS485" i="22"/>
  <c r="BD485" i="22" s="1"/>
  <c r="AR485" i="22"/>
  <c r="BC485" i="22" s="1"/>
  <c r="AQ485" i="22"/>
  <c r="BB485" i="22" s="1"/>
  <c r="AP485" i="22"/>
  <c r="BA485" i="22" s="1"/>
  <c r="AO485" i="22"/>
  <c r="AZ485" i="22" s="1"/>
  <c r="AW484" i="22"/>
  <c r="BH484" i="22" s="1"/>
  <c r="AV484" i="22"/>
  <c r="BG484" i="22" s="1"/>
  <c r="AU484" i="22"/>
  <c r="BF484" i="22" s="1"/>
  <c r="AT484" i="22"/>
  <c r="BE484" i="22" s="1"/>
  <c r="AS484" i="22"/>
  <c r="BD484" i="22" s="1"/>
  <c r="AR484" i="22"/>
  <c r="BC484" i="22" s="1"/>
  <c r="AQ484" i="22"/>
  <c r="BB484" i="22" s="1"/>
  <c r="AP484" i="22"/>
  <c r="BA484" i="22" s="1"/>
  <c r="AO484" i="22"/>
  <c r="AZ484" i="22" s="1"/>
  <c r="AW483" i="22"/>
  <c r="BH483" i="22" s="1"/>
  <c r="AV483" i="22"/>
  <c r="BG483" i="22" s="1"/>
  <c r="AU483" i="22"/>
  <c r="BF483" i="22" s="1"/>
  <c r="AT483" i="22"/>
  <c r="BE483" i="22" s="1"/>
  <c r="AS483" i="22"/>
  <c r="BD483" i="22" s="1"/>
  <c r="AR483" i="22"/>
  <c r="BC483" i="22" s="1"/>
  <c r="AQ483" i="22"/>
  <c r="BB483" i="22" s="1"/>
  <c r="AP483" i="22"/>
  <c r="BA483" i="22" s="1"/>
  <c r="AO483" i="22"/>
  <c r="AZ483" i="22" s="1"/>
  <c r="AW482" i="22"/>
  <c r="BH482" i="22" s="1"/>
  <c r="AV482" i="22"/>
  <c r="BG482" i="22" s="1"/>
  <c r="AU482" i="22"/>
  <c r="BF482" i="22" s="1"/>
  <c r="AT482" i="22"/>
  <c r="BE482" i="22" s="1"/>
  <c r="AS482" i="22"/>
  <c r="BD482" i="22" s="1"/>
  <c r="AR482" i="22"/>
  <c r="BC482" i="22" s="1"/>
  <c r="AQ482" i="22"/>
  <c r="BB482" i="22" s="1"/>
  <c r="AP482" i="22"/>
  <c r="BA482" i="22" s="1"/>
  <c r="AO482" i="22"/>
  <c r="AZ482" i="22" s="1"/>
  <c r="AW480" i="22"/>
  <c r="BH480" i="22" s="1"/>
  <c r="AV480" i="22"/>
  <c r="BG480" i="22" s="1"/>
  <c r="AU480" i="22"/>
  <c r="BF480" i="22" s="1"/>
  <c r="AT480" i="22"/>
  <c r="BE480" i="22" s="1"/>
  <c r="AS480" i="22"/>
  <c r="BD480" i="22" s="1"/>
  <c r="AR480" i="22"/>
  <c r="BC480" i="22" s="1"/>
  <c r="AQ480" i="22"/>
  <c r="BB480" i="22" s="1"/>
  <c r="AP480" i="22"/>
  <c r="BA480" i="22" s="1"/>
  <c r="AO480" i="22"/>
  <c r="AZ480" i="22" s="1"/>
  <c r="AW479" i="22"/>
  <c r="BH479" i="22" s="1"/>
  <c r="AV479" i="22"/>
  <c r="BG479" i="22" s="1"/>
  <c r="AU479" i="22"/>
  <c r="BF479" i="22" s="1"/>
  <c r="AT479" i="22"/>
  <c r="BE479" i="22" s="1"/>
  <c r="AS479" i="22"/>
  <c r="BD479" i="22" s="1"/>
  <c r="AR479" i="22"/>
  <c r="BC479" i="22" s="1"/>
  <c r="AQ479" i="22"/>
  <c r="BB479" i="22" s="1"/>
  <c r="AP479" i="22"/>
  <c r="BA479" i="22" s="1"/>
  <c r="AO479" i="22"/>
  <c r="AZ479" i="22" s="1"/>
  <c r="AW478" i="22"/>
  <c r="BH478" i="22" s="1"/>
  <c r="AV478" i="22"/>
  <c r="BG478" i="22" s="1"/>
  <c r="AU478" i="22"/>
  <c r="BF478" i="22" s="1"/>
  <c r="AT478" i="22"/>
  <c r="BE478" i="22" s="1"/>
  <c r="AS478" i="22"/>
  <c r="BD478" i="22" s="1"/>
  <c r="AR478" i="22"/>
  <c r="BC478" i="22" s="1"/>
  <c r="AQ478" i="22"/>
  <c r="BB478" i="22" s="1"/>
  <c r="AP478" i="22"/>
  <c r="BA478" i="22" s="1"/>
  <c r="AO478" i="22"/>
  <c r="AZ478" i="22" s="1"/>
  <c r="AW477" i="22"/>
  <c r="BH477" i="22" s="1"/>
  <c r="AV477" i="22"/>
  <c r="BG477" i="22" s="1"/>
  <c r="AU477" i="22"/>
  <c r="BF477" i="22" s="1"/>
  <c r="AT477" i="22"/>
  <c r="BE477" i="22" s="1"/>
  <c r="AS477" i="22"/>
  <c r="BD477" i="22" s="1"/>
  <c r="AR477" i="22"/>
  <c r="BC477" i="22" s="1"/>
  <c r="AQ477" i="22"/>
  <c r="BB477" i="22" s="1"/>
  <c r="AP477" i="22"/>
  <c r="BA477" i="22" s="1"/>
  <c r="AO477" i="22"/>
  <c r="AZ477" i="22" s="1"/>
  <c r="AW476" i="22"/>
  <c r="BH476" i="22" s="1"/>
  <c r="AV476" i="22"/>
  <c r="BG476" i="22" s="1"/>
  <c r="AU476" i="22"/>
  <c r="BF476" i="22" s="1"/>
  <c r="AT476" i="22"/>
  <c r="BE476" i="22" s="1"/>
  <c r="AS476" i="22"/>
  <c r="BD476" i="22" s="1"/>
  <c r="AR476" i="22"/>
  <c r="BC476" i="22" s="1"/>
  <c r="AQ476" i="22"/>
  <c r="BB476" i="22" s="1"/>
  <c r="AP476" i="22"/>
  <c r="BA476" i="22" s="1"/>
  <c r="AO476" i="22"/>
  <c r="AZ476" i="22" s="1"/>
  <c r="AW475" i="22"/>
  <c r="BH475" i="22" s="1"/>
  <c r="AV475" i="22"/>
  <c r="BG475" i="22" s="1"/>
  <c r="AU475" i="22"/>
  <c r="BF475" i="22" s="1"/>
  <c r="AT475" i="22"/>
  <c r="BE475" i="22" s="1"/>
  <c r="AS475" i="22"/>
  <c r="BD475" i="22" s="1"/>
  <c r="AR475" i="22"/>
  <c r="BC475" i="22" s="1"/>
  <c r="AQ475" i="22"/>
  <c r="BB475" i="22" s="1"/>
  <c r="AP475" i="22"/>
  <c r="BA475" i="22" s="1"/>
  <c r="AO475" i="22"/>
  <c r="AZ475" i="22" s="1"/>
  <c r="AW474" i="22"/>
  <c r="BH474" i="22" s="1"/>
  <c r="AV474" i="22"/>
  <c r="BG474" i="22" s="1"/>
  <c r="AU474" i="22"/>
  <c r="BF474" i="22" s="1"/>
  <c r="AT474" i="22"/>
  <c r="BE474" i="22" s="1"/>
  <c r="AS474" i="22"/>
  <c r="BD474" i="22" s="1"/>
  <c r="AR474" i="22"/>
  <c r="BC474" i="22" s="1"/>
  <c r="AQ474" i="22"/>
  <c r="BB474" i="22" s="1"/>
  <c r="AP474" i="22"/>
  <c r="BA474" i="22" s="1"/>
  <c r="AO474" i="22"/>
  <c r="AZ474" i="22" s="1"/>
  <c r="AW473" i="22"/>
  <c r="BH473" i="22" s="1"/>
  <c r="AV473" i="22"/>
  <c r="BG473" i="22" s="1"/>
  <c r="AU473" i="22"/>
  <c r="BF473" i="22" s="1"/>
  <c r="AT473" i="22"/>
  <c r="BE473" i="22" s="1"/>
  <c r="AS473" i="22"/>
  <c r="BD473" i="22" s="1"/>
  <c r="AR473" i="22"/>
  <c r="BC473" i="22" s="1"/>
  <c r="AQ473" i="22"/>
  <c r="BB473" i="22" s="1"/>
  <c r="AP473" i="22"/>
  <c r="BA473" i="22" s="1"/>
  <c r="AO473" i="22"/>
  <c r="AZ473" i="22" s="1"/>
  <c r="AW472" i="22"/>
  <c r="BH472" i="22" s="1"/>
  <c r="AV472" i="22"/>
  <c r="BG472" i="22" s="1"/>
  <c r="AU472" i="22"/>
  <c r="BF472" i="22" s="1"/>
  <c r="AT472" i="22"/>
  <c r="BE472" i="22" s="1"/>
  <c r="AS472" i="22"/>
  <c r="BD472" i="22" s="1"/>
  <c r="AR472" i="22"/>
  <c r="BC472" i="22" s="1"/>
  <c r="AQ472" i="22"/>
  <c r="BB472" i="22" s="1"/>
  <c r="AP472" i="22"/>
  <c r="BA472" i="22" s="1"/>
  <c r="AO472" i="22"/>
  <c r="AZ472" i="22" s="1"/>
  <c r="AW471" i="22"/>
  <c r="BH471" i="22" s="1"/>
  <c r="AV471" i="22"/>
  <c r="BG471" i="22" s="1"/>
  <c r="AU471" i="22"/>
  <c r="BF471" i="22" s="1"/>
  <c r="AT471" i="22"/>
  <c r="BE471" i="22" s="1"/>
  <c r="AS471" i="22"/>
  <c r="BD471" i="22" s="1"/>
  <c r="AR471" i="22"/>
  <c r="BC471" i="22" s="1"/>
  <c r="AQ471" i="22"/>
  <c r="BB471" i="22" s="1"/>
  <c r="AP471" i="22"/>
  <c r="BA471" i="22" s="1"/>
  <c r="AO471" i="22"/>
  <c r="AZ471" i="22" s="1"/>
  <c r="AW470" i="22"/>
  <c r="BH470" i="22" s="1"/>
  <c r="AV470" i="22"/>
  <c r="BG470" i="22" s="1"/>
  <c r="AU470" i="22"/>
  <c r="BF470" i="22" s="1"/>
  <c r="AT470" i="22"/>
  <c r="BE470" i="22" s="1"/>
  <c r="AS470" i="22"/>
  <c r="BD470" i="22" s="1"/>
  <c r="AR470" i="22"/>
  <c r="BC470" i="22" s="1"/>
  <c r="AQ470" i="22"/>
  <c r="BB470" i="22" s="1"/>
  <c r="AP470" i="22"/>
  <c r="BA470" i="22" s="1"/>
  <c r="AO470" i="22"/>
  <c r="AZ470" i="22" s="1"/>
  <c r="AW469" i="22"/>
  <c r="BH469" i="22" s="1"/>
  <c r="AV469" i="22"/>
  <c r="BG469" i="22" s="1"/>
  <c r="AU469" i="22"/>
  <c r="BF469" i="22" s="1"/>
  <c r="AT469" i="22"/>
  <c r="BE469" i="22" s="1"/>
  <c r="AS469" i="22"/>
  <c r="BD469" i="22" s="1"/>
  <c r="AR469" i="22"/>
  <c r="BC469" i="22" s="1"/>
  <c r="AQ469" i="22"/>
  <c r="BB469" i="22" s="1"/>
  <c r="AP469" i="22"/>
  <c r="BA469" i="22" s="1"/>
  <c r="AO469" i="22"/>
  <c r="AZ469" i="22" s="1"/>
  <c r="AW468" i="22"/>
  <c r="BH468" i="22" s="1"/>
  <c r="AV468" i="22"/>
  <c r="BG468" i="22" s="1"/>
  <c r="AU468" i="22"/>
  <c r="BF468" i="22" s="1"/>
  <c r="AT468" i="22"/>
  <c r="BE468" i="22" s="1"/>
  <c r="AS468" i="22"/>
  <c r="BD468" i="22" s="1"/>
  <c r="AR468" i="22"/>
  <c r="BC468" i="22" s="1"/>
  <c r="AQ468" i="22"/>
  <c r="BB468" i="22" s="1"/>
  <c r="AP468" i="22"/>
  <c r="BA468" i="22" s="1"/>
  <c r="AO468" i="22"/>
  <c r="AZ468" i="22" s="1"/>
  <c r="AW467" i="22"/>
  <c r="BH467" i="22" s="1"/>
  <c r="AV467" i="22"/>
  <c r="BG467" i="22" s="1"/>
  <c r="AU467" i="22"/>
  <c r="BF467" i="22" s="1"/>
  <c r="AT467" i="22"/>
  <c r="BE467" i="22" s="1"/>
  <c r="AS467" i="22"/>
  <c r="BD467" i="22" s="1"/>
  <c r="AR467" i="22"/>
  <c r="BC467" i="22" s="1"/>
  <c r="AQ467" i="22"/>
  <c r="BB467" i="22" s="1"/>
  <c r="AP467" i="22"/>
  <c r="BA467" i="22" s="1"/>
  <c r="AO467" i="22"/>
  <c r="AZ467" i="22" s="1"/>
  <c r="AW466" i="22"/>
  <c r="BH466" i="22" s="1"/>
  <c r="AV466" i="22"/>
  <c r="BG466" i="22" s="1"/>
  <c r="AU466" i="22"/>
  <c r="BF466" i="22" s="1"/>
  <c r="AT466" i="22"/>
  <c r="BE466" i="22" s="1"/>
  <c r="AS466" i="22"/>
  <c r="BD466" i="22" s="1"/>
  <c r="AR466" i="22"/>
  <c r="BC466" i="22" s="1"/>
  <c r="AQ466" i="22"/>
  <c r="BB466" i="22" s="1"/>
  <c r="AP466" i="22"/>
  <c r="BA466" i="22" s="1"/>
  <c r="AO466" i="22"/>
  <c r="AZ466" i="22" s="1"/>
  <c r="AW465" i="22"/>
  <c r="BH465" i="22" s="1"/>
  <c r="AV465" i="22"/>
  <c r="BG465" i="22" s="1"/>
  <c r="AU465" i="22"/>
  <c r="BF465" i="22" s="1"/>
  <c r="AT465" i="22"/>
  <c r="BE465" i="22" s="1"/>
  <c r="AS465" i="22"/>
  <c r="BD465" i="22" s="1"/>
  <c r="AR465" i="22"/>
  <c r="BC465" i="22" s="1"/>
  <c r="AQ465" i="22"/>
  <c r="BB465" i="22" s="1"/>
  <c r="AP465" i="22"/>
  <c r="BA465" i="22" s="1"/>
  <c r="AO465" i="22"/>
  <c r="AZ465" i="22" s="1"/>
  <c r="AW464" i="22"/>
  <c r="BH464" i="22" s="1"/>
  <c r="AV464" i="22"/>
  <c r="BG464" i="22" s="1"/>
  <c r="AU464" i="22"/>
  <c r="BF464" i="22" s="1"/>
  <c r="AT464" i="22"/>
  <c r="BE464" i="22" s="1"/>
  <c r="AS464" i="22"/>
  <c r="BD464" i="22" s="1"/>
  <c r="AR464" i="22"/>
  <c r="BC464" i="22" s="1"/>
  <c r="AQ464" i="22"/>
  <c r="BB464" i="22" s="1"/>
  <c r="AP464" i="22"/>
  <c r="BA464" i="22" s="1"/>
  <c r="AO464" i="22"/>
  <c r="AZ464" i="22" s="1"/>
  <c r="AW463" i="22"/>
  <c r="BH463" i="22" s="1"/>
  <c r="AV463" i="22"/>
  <c r="BG463" i="22" s="1"/>
  <c r="AU463" i="22"/>
  <c r="BF463" i="22" s="1"/>
  <c r="AT463" i="22"/>
  <c r="BE463" i="22" s="1"/>
  <c r="AS463" i="22"/>
  <c r="BD463" i="22" s="1"/>
  <c r="AR463" i="22"/>
  <c r="BC463" i="22" s="1"/>
  <c r="AQ463" i="22"/>
  <c r="BB463" i="22" s="1"/>
  <c r="AP463" i="22"/>
  <c r="BA463" i="22" s="1"/>
  <c r="AO463" i="22"/>
  <c r="AZ463" i="22" s="1"/>
  <c r="AW462" i="22"/>
  <c r="BH462" i="22" s="1"/>
  <c r="AV462" i="22"/>
  <c r="BG462" i="22" s="1"/>
  <c r="AU462" i="22"/>
  <c r="BF462" i="22" s="1"/>
  <c r="AT462" i="22"/>
  <c r="BE462" i="22" s="1"/>
  <c r="AS462" i="22"/>
  <c r="BD462" i="22" s="1"/>
  <c r="AR462" i="22"/>
  <c r="BC462" i="22" s="1"/>
  <c r="AQ462" i="22"/>
  <c r="BB462" i="22" s="1"/>
  <c r="AP462" i="22"/>
  <c r="BA462" i="22" s="1"/>
  <c r="AO462" i="22"/>
  <c r="AZ462" i="22" s="1"/>
  <c r="AW461" i="22"/>
  <c r="BH461" i="22" s="1"/>
  <c r="AV461" i="22"/>
  <c r="BG461" i="22" s="1"/>
  <c r="AU461" i="22"/>
  <c r="BF461" i="22" s="1"/>
  <c r="AT461" i="22"/>
  <c r="BE461" i="22" s="1"/>
  <c r="AS461" i="22"/>
  <c r="BD461" i="22" s="1"/>
  <c r="AR461" i="22"/>
  <c r="BC461" i="22" s="1"/>
  <c r="AQ461" i="22"/>
  <c r="BB461" i="22" s="1"/>
  <c r="AP461" i="22"/>
  <c r="BA461" i="22" s="1"/>
  <c r="AO461" i="22"/>
  <c r="AZ461" i="22" s="1"/>
  <c r="AW460" i="22"/>
  <c r="BH460" i="22" s="1"/>
  <c r="AV460" i="22"/>
  <c r="BG460" i="22" s="1"/>
  <c r="AU460" i="22"/>
  <c r="BF460" i="22" s="1"/>
  <c r="AT460" i="22"/>
  <c r="BE460" i="22" s="1"/>
  <c r="AS460" i="22"/>
  <c r="BD460" i="22" s="1"/>
  <c r="AR460" i="22"/>
  <c r="BC460" i="22" s="1"/>
  <c r="AQ460" i="22"/>
  <c r="BB460" i="22" s="1"/>
  <c r="AP460" i="22"/>
  <c r="BA460" i="22" s="1"/>
  <c r="AO460" i="22"/>
  <c r="AZ460" i="22" s="1"/>
  <c r="AW459" i="22"/>
  <c r="BH459" i="22" s="1"/>
  <c r="AV459" i="22"/>
  <c r="BG459" i="22" s="1"/>
  <c r="AU459" i="22"/>
  <c r="BF459" i="22" s="1"/>
  <c r="AT459" i="22"/>
  <c r="BE459" i="22" s="1"/>
  <c r="AS459" i="22"/>
  <c r="BD459" i="22" s="1"/>
  <c r="AR459" i="22"/>
  <c r="BC459" i="22" s="1"/>
  <c r="AQ459" i="22"/>
  <c r="BB459" i="22" s="1"/>
  <c r="AP459" i="22"/>
  <c r="BA459" i="22" s="1"/>
  <c r="AO459" i="22"/>
  <c r="AZ459" i="22" s="1"/>
  <c r="AW458" i="22"/>
  <c r="BH458" i="22" s="1"/>
  <c r="AV458" i="22"/>
  <c r="BG458" i="22" s="1"/>
  <c r="AU458" i="22"/>
  <c r="BF458" i="22" s="1"/>
  <c r="AT458" i="22"/>
  <c r="BE458" i="22" s="1"/>
  <c r="AS458" i="22"/>
  <c r="BD458" i="22" s="1"/>
  <c r="AR458" i="22"/>
  <c r="BC458" i="22" s="1"/>
  <c r="AQ458" i="22"/>
  <c r="BB458" i="22" s="1"/>
  <c r="AP458" i="22"/>
  <c r="BA458" i="22" s="1"/>
  <c r="AO458" i="22"/>
  <c r="AZ458" i="22" s="1"/>
  <c r="AW457" i="22"/>
  <c r="BH457" i="22" s="1"/>
  <c r="AV457" i="22"/>
  <c r="BG457" i="22" s="1"/>
  <c r="AU457" i="22"/>
  <c r="BF457" i="22" s="1"/>
  <c r="AT457" i="22"/>
  <c r="BE457" i="22" s="1"/>
  <c r="AS457" i="22"/>
  <c r="BD457" i="22" s="1"/>
  <c r="AR457" i="22"/>
  <c r="BC457" i="22" s="1"/>
  <c r="AQ457" i="22"/>
  <c r="BB457" i="22" s="1"/>
  <c r="AP457" i="22"/>
  <c r="BA457" i="22" s="1"/>
  <c r="AO457" i="22"/>
  <c r="AZ457" i="22" s="1"/>
  <c r="AW456" i="22"/>
  <c r="BH456" i="22" s="1"/>
  <c r="AV456" i="22"/>
  <c r="BG456" i="22" s="1"/>
  <c r="AU456" i="22"/>
  <c r="BF456" i="22" s="1"/>
  <c r="AT456" i="22"/>
  <c r="BE456" i="22" s="1"/>
  <c r="AS456" i="22"/>
  <c r="BD456" i="22" s="1"/>
  <c r="AR456" i="22"/>
  <c r="BC456" i="22" s="1"/>
  <c r="AQ456" i="22"/>
  <c r="BB456" i="22" s="1"/>
  <c r="AP456" i="22"/>
  <c r="BA456" i="22" s="1"/>
  <c r="AO456" i="22"/>
  <c r="AZ456" i="22" s="1"/>
  <c r="AW455" i="22"/>
  <c r="BH455" i="22" s="1"/>
  <c r="AV455" i="22"/>
  <c r="BG455" i="22" s="1"/>
  <c r="AU455" i="22"/>
  <c r="BF455" i="22" s="1"/>
  <c r="AT455" i="22"/>
  <c r="BE455" i="22" s="1"/>
  <c r="AS455" i="22"/>
  <c r="BD455" i="22" s="1"/>
  <c r="AR455" i="22"/>
  <c r="BC455" i="22" s="1"/>
  <c r="AQ455" i="22"/>
  <c r="BB455" i="22" s="1"/>
  <c r="AP455" i="22"/>
  <c r="BA455" i="22" s="1"/>
  <c r="AO455" i="22"/>
  <c r="AZ455" i="22" s="1"/>
  <c r="AW454" i="22"/>
  <c r="BH454" i="22" s="1"/>
  <c r="AV454" i="22"/>
  <c r="BG454" i="22" s="1"/>
  <c r="AU454" i="22"/>
  <c r="BF454" i="22" s="1"/>
  <c r="AT454" i="22"/>
  <c r="BE454" i="22" s="1"/>
  <c r="AS454" i="22"/>
  <c r="BD454" i="22" s="1"/>
  <c r="AR454" i="22"/>
  <c r="BC454" i="22" s="1"/>
  <c r="AQ454" i="22"/>
  <c r="BB454" i="22" s="1"/>
  <c r="AP454" i="22"/>
  <c r="BA454" i="22" s="1"/>
  <c r="AO454" i="22"/>
  <c r="AZ454" i="22" s="1"/>
  <c r="AW453" i="22"/>
  <c r="BH453" i="22" s="1"/>
  <c r="AV453" i="22"/>
  <c r="BG453" i="22" s="1"/>
  <c r="AU453" i="22"/>
  <c r="BF453" i="22" s="1"/>
  <c r="AT453" i="22"/>
  <c r="BE453" i="22" s="1"/>
  <c r="AS453" i="22"/>
  <c r="BD453" i="22" s="1"/>
  <c r="AR453" i="22"/>
  <c r="BC453" i="22" s="1"/>
  <c r="AQ453" i="22"/>
  <c r="BB453" i="22" s="1"/>
  <c r="AP453" i="22"/>
  <c r="BA453" i="22" s="1"/>
  <c r="AO453" i="22"/>
  <c r="AZ453" i="22" s="1"/>
  <c r="AW452" i="22"/>
  <c r="BH452" i="22" s="1"/>
  <c r="AV452" i="22"/>
  <c r="BG452" i="22" s="1"/>
  <c r="AU452" i="22"/>
  <c r="BF452" i="22" s="1"/>
  <c r="AT452" i="22"/>
  <c r="BE452" i="22" s="1"/>
  <c r="AS452" i="22"/>
  <c r="BD452" i="22" s="1"/>
  <c r="AR452" i="22"/>
  <c r="BC452" i="22" s="1"/>
  <c r="AQ452" i="22"/>
  <c r="BB452" i="22" s="1"/>
  <c r="AP452" i="22"/>
  <c r="BA452" i="22" s="1"/>
  <c r="AO452" i="22"/>
  <c r="AZ452" i="22" s="1"/>
  <c r="AW451" i="22"/>
  <c r="BH451" i="22" s="1"/>
  <c r="AV451" i="22"/>
  <c r="BG451" i="22" s="1"/>
  <c r="AU451" i="22"/>
  <c r="BF451" i="22" s="1"/>
  <c r="AT451" i="22"/>
  <c r="BE451" i="22" s="1"/>
  <c r="AS451" i="22"/>
  <c r="BD451" i="22" s="1"/>
  <c r="AR451" i="22"/>
  <c r="BC451" i="22" s="1"/>
  <c r="AQ451" i="22"/>
  <c r="BB451" i="22" s="1"/>
  <c r="AP451" i="22"/>
  <c r="BA451" i="22" s="1"/>
  <c r="AO451" i="22"/>
  <c r="AZ451" i="22" s="1"/>
  <c r="AW450" i="22"/>
  <c r="BH450" i="22" s="1"/>
  <c r="AV450" i="22"/>
  <c r="BG450" i="22" s="1"/>
  <c r="AU450" i="22"/>
  <c r="BF450" i="22" s="1"/>
  <c r="AT450" i="22"/>
  <c r="BE450" i="22" s="1"/>
  <c r="AS450" i="22"/>
  <c r="BD450" i="22" s="1"/>
  <c r="AR450" i="22"/>
  <c r="BC450" i="22" s="1"/>
  <c r="AQ450" i="22"/>
  <c r="BB450" i="22" s="1"/>
  <c r="AP450" i="22"/>
  <c r="BA450" i="22" s="1"/>
  <c r="AO450" i="22"/>
  <c r="AZ450" i="22" s="1"/>
  <c r="AW449" i="22"/>
  <c r="BH449" i="22" s="1"/>
  <c r="AV449" i="22"/>
  <c r="BG449" i="22" s="1"/>
  <c r="AU449" i="22"/>
  <c r="BF449" i="22" s="1"/>
  <c r="AT449" i="22"/>
  <c r="BE449" i="22" s="1"/>
  <c r="AS449" i="22"/>
  <c r="BD449" i="22" s="1"/>
  <c r="AR449" i="22"/>
  <c r="BC449" i="22" s="1"/>
  <c r="AQ449" i="22"/>
  <c r="BB449" i="22" s="1"/>
  <c r="AP449" i="22"/>
  <c r="BA449" i="22" s="1"/>
  <c r="AO449" i="22"/>
  <c r="AZ449" i="22" s="1"/>
  <c r="AW448" i="22"/>
  <c r="BH448" i="22" s="1"/>
  <c r="AV448" i="22"/>
  <c r="BG448" i="22" s="1"/>
  <c r="AU448" i="22"/>
  <c r="BF448" i="22" s="1"/>
  <c r="AT448" i="22"/>
  <c r="BE448" i="22" s="1"/>
  <c r="AS448" i="22"/>
  <c r="BD448" i="22" s="1"/>
  <c r="AR448" i="22"/>
  <c r="BC448" i="22" s="1"/>
  <c r="AQ448" i="22"/>
  <c r="BB448" i="22" s="1"/>
  <c r="AP448" i="22"/>
  <c r="BA448" i="22" s="1"/>
  <c r="AO448" i="22"/>
  <c r="AZ448" i="22" s="1"/>
  <c r="AW447" i="22"/>
  <c r="BH447" i="22" s="1"/>
  <c r="AV447" i="22"/>
  <c r="BG447" i="22" s="1"/>
  <c r="AU447" i="22"/>
  <c r="BF447" i="22" s="1"/>
  <c r="AT447" i="22"/>
  <c r="BE447" i="22" s="1"/>
  <c r="AS447" i="22"/>
  <c r="BD447" i="22" s="1"/>
  <c r="AR447" i="22"/>
  <c r="BC447" i="22" s="1"/>
  <c r="AQ447" i="22"/>
  <c r="BB447" i="22" s="1"/>
  <c r="AP447" i="22"/>
  <c r="BA447" i="22" s="1"/>
  <c r="AO447" i="22"/>
  <c r="AZ447" i="22" s="1"/>
  <c r="AW446" i="22"/>
  <c r="BH446" i="22" s="1"/>
  <c r="AV446" i="22"/>
  <c r="BG446" i="22" s="1"/>
  <c r="AU446" i="22"/>
  <c r="BF446" i="22" s="1"/>
  <c r="AT446" i="22"/>
  <c r="BE446" i="22" s="1"/>
  <c r="AS446" i="22"/>
  <c r="BD446" i="22" s="1"/>
  <c r="AR446" i="22"/>
  <c r="BC446" i="22" s="1"/>
  <c r="AQ446" i="22"/>
  <c r="BB446" i="22" s="1"/>
  <c r="AP446" i="22"/>
  <c r="BA446" i="22" s="1"/>
  <c r="AO446" i="22"/>
  <c r="AZ446" i="22" s="1"/>
  <c r="AW445" i="22"/>
  <c r="BH445" i="22" s="1"/>
  <c r="AV445" i="22"/>
  <c r="BG445" i="22" s="1"/>
  <c r="AU445" i="22"/>
  <c r="BF445" i="22" s="1"/>
  <c r="AT445" i="22"/>
  <c r="BE445" i="22" s="1"/>
  <c r="AS445" i="22"/>
  <c r="BD445" i="22" s="1"/>
  <c r="AR445" i="22"/>
  <c r="BC445" i="22" s="1"/>
  <c r="AQ445" i="22"/>
  <c r="BB445" i="22" s="1"/>
  <c r="AP445" i="22"/>
  <c r="BA445" i="22" s="1"/>
  <c r="AO445" i="22"/>
  <c r="AZ445" i="22" s="1"/>
  <c r="AW444" i="22"/>
  <c r="BH444" i="22" s="1"/>
  <c r="AV444" i="22"/>
  <c r="BG444" i="22" s="1"/>
  <c r="AU444" i="22"/>
  <c r="BF444" i="22" s="1"/>
  <c r="AT444" i="22"/>
  <c r="BE444" i="22" s="1"/>
  <c r="AS444" i="22"/>
  <c r="BD444" i="22" s="1"/>
  <c r="AR444" i="22"/>
  <c r="BC444" i="22" s="1"/>
  <c r="AQ444" i="22"/>
  <c r="BB444" i="22" s="1"/>
  <c r="AP444" i="22"/>
  <c r="BA444" i="22" s="1"/>
  <c r="AO444" i="22"/>
  <c r="AZ444" i="22" s="1"/>
  <c r="AW443" i="22"/>
  <c r="BH443" i="22" s="1"/>
  <c r="AV443" i="22"/>
  <c r="BG443" i="22" s="1"/>
  <c r="AU443" i="22"/>
  <c r="BF443" i="22" s="1"/>
  <c r="AT443" i="22"/>
  <c r="BE443" i="22" s="1"/>
  <c r="AS443" i="22"/>
  <c r="BD443" i="22" s="1"/>
  <c r="AR443" i="22"/>
  <c r="BC443" i="22" s="1"/>
  <c r="AQ443" i="22"/>
  <c r="BB443" i="22" s="1"/>
  <c r="AP443" i="22"/>
  <c r="BA443" i="22" s="1"/>
  <c r="AO443" i="22"/>
  <c r="AZ443" i="22" s="1"/>
  <c r="AW442" i="22"/>
  <c r="BH442" i="22" s="1"/>
  <c r="AV442" i="22"/>
  <c r="BG442" i="22" s="1"/>
  <c r="AU442" i="22"/>
  <c r="BF442" i="22" s="1"/>
  <c r="AT442" i="22"/>
  <c r="BE442" i="22" s="1"/>
  <c r="AS442" i="22"/>
  <c r="BD442" i="22" s="1"/>
  <c r="AR442" i="22"/>
  <c r="BC442" i="22" s="1"/>
  <c r="AQ442" i="22"/>
  <c r="BB442" i="22" s="1"/>
  <c r="AP442" i="22"/>
  <c r="BA442" i="22" s="1"/>
  <c r="AO442" i="22"/>
  <c r="AZ442" i="22" s="1"/>
  <c r="AW441" i="22"/>
  <c r="BH441" i="22" s="1"/>
  <c r="AV441" i="22"/>
  <c r="BG441" i="22" s="1"/>
  <c r="AU441" i="22"/>
  <c r="BF441" i="22" s="1"/>
  <c r="AT441" i="22"/>
  <c r="BE441" i="22" s="1"/>
  <c r="AS441" i="22"/>
  <c r="BD441" i="22" s="1"/>
  <c r="AR441" i="22"/>
  <c r="BC441" i="22" s="1"/>
  <c r="AQ441" i="22"/>
  <c r="BB441" i="22" s="1"/>
  <c r="AP441" i="22"/>
  <c r="BA441" i="22" s="1"/>
  <c r="AO441" i="22"/>
  <c r="AZ441" i="22" s="1"/>
  <c r="AW439" i="22"/>
  <c r="BH439" i="22" s="1"/>
  <c r="AV439" i="22"/>
  <c r="BG439" i="22" s="1"/>
  <c r="AU439" i="22"/>
  <c r="BF439" i="22" s="1"/>
  <c r="AT439" i="22"/>
  <c r="BE439" i="22" s="1"/>
  <c r="AS439" i="22"/>
  <c r="BD439" i="22" s="1"/>
  <c r="AR439" i="22"/>
  <c r="BC439" i="22" s="1"/>
  <c r="AQ439" i="22"/>
  <c r="BB439" i="22" s="1"/>
  <c r="AP439" i="22"/>
  <c r="BA439" i="22" s="1"/>
  <c r="AO439" i="22"/>
  <c r="AZ439" i="22" s="1"/>
  <c r="AW438" i="22"/>
  <c r="BH438" i="22" s="1"/>
  <c r="AV438" i="22"/>
  <c r="BG438" i="22" s="1"/>
  <c r="AU438" i="22"/>
  <c r="BF438" i="22" s="1"/>
  <c r="AT438" i="22"/>
  <c r="BE438" i="22" s="1"/>
  <c r="AS438" i="22"/>
  <c r="BD438" i="22" s="1"/>
  <c r="AR438" i="22"/>
  <c r="BC438" i="22" s="1"/>
  <c r="AQ438" i="22"/>
  <c r="BB438" i="22" s="1"/>
  <c r="AP438" i="22"/>
  <c r="BA438" i="22" s="1"/>
  <c r="AO438" i="22"/>
  <c r="AZ438" i="22" s="1"/>
  <c r="AW437" i="22"/>
  <c r="BH437" i="22" s="1"/>
  <c r="AV437" i="22"/>
  <c r="BG437" i="22" s="1"/>
  <c r="AU437" i="22"/>
  <c r="BF437" i="22" s="1"/>
  <c r="AT437" i="22"/>
  <c r="BE437" i="22" s="1"/>
  <c r="AS437" i="22"/>
  <c r="BD437" i="22" s="1"/>
  <c r="AR437" i="22"/>
  <c r="BC437" i="22" s="1"/>
  <c r="AQ437" i="22"/>
  <c r="BB437" i="22" s="1"/>
  <c r="AP437" i="22"/>
  <c r="BA437" i="22" s="1"/>
  <c r="AO437" i="22"/>
  <c r="AZ437" i="22" s="1"/>
  <c r="AW436" i="22"/>
  <c r="BH436" i="22" s="1"/>
  <c r="AV436" i="22"/>
  <c r="BG436" i="22" s="1"/>
  <c r="AU436" i="22"/>
  <c r="BF436" i="22" s="1"/>
  <c r="AT436" i="22"/>
  <c r="BE436" i="22" s="1"/>
  <c r="AS436" i="22"/>
  <c r="BD436" i="22" s="1"/>
  <c r="AR436" i="22"/>
  <c r="BC436" i="22" s="1"/>
  <c r="AQ436" i="22"/>
  <c r="BB436" i="22" s="1"/>
  <c r="AP436" i="22"/>
  <c r="BA436" i="22" s="1"/>
  <c r="AO436" i="22"/>
  <c r="AZ436" i="22" s="1"/>
  <c r="AW435" i="22"/>
  <c r="BH435" i="22" s="1"/>
  <c r="AV435" i="22"/>
  <c r="BG435" i="22" s="1"/>
  <c r="AU435" i="22"/>
  <c r="BF435" i="22" s="1"/>
  <c r="AT435" i="22"/>
  <c r="BE435" i="22" s="1"/>
  <c r="AS435" i="22"/>
  <c r="BD435" i="22" s="1"/>
  <c r="AR435" i="22"/>
  <c r="BC435" i="22" s="1"/>
  <c r="AQ435" i="22"/>
  <c r="BB435" i="22" s="1"/>
  <c r="AP435" i="22"/>
  <c r="BA435" i="22" s="1"/>
  <c r="AO435" i="22"/>
  <c r="AZ435" i="22" s="1"/>
  <c r="AW434" i="22"/>
  <c r="BH434" i="22" s="1"/>
  <c r="AV434" i="22"/>
  <c r="BG434" i="22" s="1"/>
  <c r="AU434" i="22"/>
  <c r="BF434" i="22" s="1"/>
  <c r="AT434" i="22"/>
  <c r="BE434" i="22" s="1"/>
  <c r="AS434" i="22"/>
  <c r="BD434" i="22" s="1"/>
  <c r="AR434" i="22"/>
  <c r="BC434" i="22" s="1"/>
  <c r="AQ434" i="22"/>
  <c r="BB434" i="22" s="1"/>
  <c r="AP434" i="22"/>
  <c r="BA434" i="22" s="1"/>
  <c r="AO434" i="22"/>
  <c r="AZ434" i="22" s="1"/>
  <c r="AW433" i="22"/>
  <c r="BH433" i="22" s="1"/>
  <c r="AV433" i="22"/>
  <c r="BG433" i="22" s="1"/>
  <c r="AU433" i="22"/>
  <c r="BF433" i="22" s="1"/>
  <c r="AT433" i="22"/>
  <c r="BE433" i="22" s="1"/>
  <c r="AS433" i="22"/>
  <c r="BD433" i="22" s="1"/>
  <c r="AR433" i="22"/>
  <c r="BC433" i="22" s="1"/>
  <c r="AQ433" i="22"/>
  <c r="BB433" i="22" s="1"/>
  <c r="AP433" i="22"/>
  <c r="BA433" i="22" s="1"/>
  <c r="AO433" i="22"/>
  <c r="AZ433" i="22" s="1"/>
  <c r="AW432" i="22"/>
  <c r="BH432" i="22" s="1"/>
  <c r="AV432" i="22"/>
  <c r="BG432" i="22" s="1"/>
  <c r="AU432" i="22"/>
  <c r="BF432" i="22" s="1"/>
  <c r="AT432" i="22"/>
  <c r="BE432" i="22" s="1"/>
  <c r="AS432" i="22"/>
  <c r="BD432" i="22" s="1"/>
  <c r="AR432" i="22"/>
  <c r="BC432" i="22" s="1"/>
  <c r="AQ432" i="22"/>
  <c r="BB432" i="22" s="1"/>
  <c r="AP432" i="22"/>
  <c r="BA432" i="22" s="1"/>
  <c r="AO432" i="22"/>
  <c r="AZ432" i="22" s="1"/>
  <c r="AW431" i="22"/>
  <c r="BH431" i="22" s="1"/>
  <c r="AV431" i="22"/>
  <c r="BG431" i="22" s="1"/>
  <c r="AU431" i="22"/>
  <c r="BF431" i="22" s="1"/>
  <c r="AT431" i="22"/>
  <c r="BE431" i="22" s="1"/>
  <c r="AS431" i="22"/>
  <c r="BD431" i="22" s="1"/>
  <c r="AR431" i="22"/>
  <c r="BC431" i="22" s="1"/>
  <c r="AQ431" i="22"/>
  <c r="BB431" i="22" s="1"/>
  <c r="AP431" i="22"/>
  <c r="BA431" i="22" s="1"/>
  <c r="AO431" i="22"/>
  <c r="AZ431" i="22" s="1"/>
  <c r="AW430" i="22"/>
  <c r="BH430" i="22" s="1"/>
  <c r="AV430" i="22"/>
  <c r="BG430" i="22" s="1"/>
  <c r="AU430" i="22"/>
  <c r="BF430" i="22" s="1"/>
  <c r="AT430" i="22"/>
  <c r="BE430" i="22" s="1"/>
  <c r="AS430" i="22"/>
  <c r="BD430" i="22" s="1"/>
  <c r="AR430" i="22"/>
  <c r="BC430" i="22" s="1"/>
  <c r="AQ430" i="22"/>
  <c r="BB430" i="22" s="1"/>
  <c r="AP430" i="22"/>
  <c r="BA430" i="22" s="1"/>
  <c r="AO430" i="22"/>
  <c r="AZ430" i="22" s="1"/>
  <c r="AW429" i="22"/>
  <c r="BH429" i="22" s="1"/>
  <c r="AV429" i="22"/>
  <c r="BG429" i="22" s="1"/>
  <c r="AU429" i="22"/>
  <c r="BF429" i="22" s="1"/>
  <c r="AT429" i="22"/>
  <c r="BE429" i="22" s="1"/>
  <c r="AS429" i="22"/>
  <c r="BD429" i="22" s="1"/>
  <c r="AR429" i="22"/>
  <c r="BC429" i="22" s="1"/>
  <c r="AQ429" i="22"/>
  <c r="BB429" i="22" s="1"/>
  <c r="AP429" i="22"/>
  <c r="BA429" i="22" s="1"/>
  <c r="AO429" i="22"/>
  <c r="AZ429" i="22" s="1"/>
  <c r="AW428" i="22"/>
  <c r="BH428" i="22" s="1"/>
  <c r="AV428" i="22"/>
  <c r="BG428" i="22" s="1"/>
  <c r="AU428" i="22"/>
  <c r="BF428" i="22" s="1"/>
  <c r="AT428" i="22"/>
  <c r="BE428" i="22" s="1"/>
  <c r="AS428" i="22"/>
  <c r="BD428" i="22" s="1"/>
  <c r="AR428" i="22"/>
  <c r="BC428" i="22" s="1"/>
  <c r="AQ428" i="22"/>
  <c r="BB428" i="22" s="1"/>
  <c r="AP428" i="22"/>
  <c r="BA428" i="22" s="1"/>
  <c r="AO428" i="22"/>
  <c r="AZ428" i="22" s="1"/>
  <c r="AW427" i="22"/>
  <c r="BH427" i="22" s="1"/>
  <c r="AV427" i="22"/>
  <c r="BG427" i="22" s="1"/>
  <c r="AU427" i="22"/>
  <c r="BF427" i="22" s="1"/>
  <c r="AT427" i="22"/>
  <c r="BE427" i="22" s="1"/>
  <c r="AS427" i="22"/>
  <c r="BD427" i="22" s="1"/>
  <c r="AR427" i="22"/>
  <c r="BC427" i="22" s="1"/>
  <c r="AQ427" i="22"/>
  <c r="BB427" i="22" s="1"/>
  <c r="AP427" i="22"/>
  <c r="BA427" i="22" s="1"/>
  <c r="AO427" i="22"/>
  <c r="AZ427" i="22" s="1"/>
  <c r="AW426" i="22"/>
  <c r="BH426" i="22" s="1"/>
  <c r="AV426" i="22"/>
  <c r="BG426" i="22" s="1"/>
  <c r="AU426" i="22"/>
  <c r="BF426" i="22" s="1"/>
  <c r="AT426" i="22"/>
  <c r="BE426" i="22" s="1"/>
  <c r="AS426" i="22"/>
  <c r="BD426" i="22" s="1"/>
  <c r="AR426" i="22"/>
  <c r="BC426" i="22" s="1"/>
  <c r="AQ426" i="22"/>
  <c r="BB426" i="22" s="1"/>
  <c r="AP426" i="22"/>
  <c r="BA426" i="22" s="1"/>
  <c r="AO426" i="22"/>
  <c r="AZ426" i="22" s="1"/>
  <c r="AW425" i="22"/>
  <c r="BH425" i="22" s="1"/>
  <c r="AV425" i="22"/>
  <c r="BG425" i="22" s="1"/>
  <c r="AU425" i="22"/>
  <c r="BF425" i="22" s="1"/>
  <c r="AT425" i="22"/>
  <c r="BE425" i="22" s="1"/>
  <c r="AS425" i="22"/>
  <c r="BD425" i="22" s="1"/>
  <c r="AR425" i="22"/>
  <c r="BC425" i="22" s="1"/>
  <c r="AQ425" i="22"/>
  <c r="BB425" i="22" s="1"/>
  <c r="AP425" i="22"/>
  <c r="BA425" i="22" s="1"/>
  <c r="AO425" i="22"/>
  <c r="AZ425" i="22" s="1"/>
  <c r="AW424" i="22"/>
  <c r="BH424" i="22" s="1"/>
  <c r="AV424" i="22"/>
  <c r="BG424" i="22" s="1"/>
  <c r="AU424" i="22"/>
  <c r="BF424" i="22" s="1"/>
  <c r="AT424" i="22"/>
  <c r="BE424" i="22" s="1"/>
  <c r="AS424" i="22"/>
  <c r="BD424" i="22" s="1"/>
  <c r="AR424" i="22"/>
  <c r="BC424" i="22" s="1"/>
  <c r="AQ424" i="22"/>
  <c r="BB424" i="22" s="1"/>
  <c r="AP424" i="22"/>
  <c r="BA424" i="22" s="1"/>
  <c r="AO424" i="22"/>
  <c r="AZ424" i="22" s="1"/>
  <c r="AW423" i="22"/>
  <c r="BH423" i="22" s="1"/>
  <c r="AV423" i="22"/>
  <c r="BG423" i="22" s="1"/>
  <c r="AU423" i="22"/>
  <c r="BF423" i="22" s="1"/>
  <c r="AT423" i="22"/>
  <c r="BE423" i="22" s="1"/>
  <c r="AS423" i="22"/>
  <c r="BD423" i="22" s="1"/>
  <c r="AR423" i="22"/>
  <c r="BC423" i="22" s="1"/>
  <c r="AQ423" i="22"/>
  <c r="BB423" i="22" s="1"/>
  <c r="AP423" i="22"/>
  <c r="BA423" i="22" s="1"/>
  <c r="AO423" i="22"/>
  <c r="AZ423" i="22" s="1"/>
  <c r="AW422" i="22"/>
  <c r="BH422" i="22" s="1"/>
  <c r="AV422" i="22"/>
  <c r="BG422" i="22" s="1"/>
  <c r="AU422" i="22"/>
  <c r="BF422" i="22" s="1"/>
  <c r="AT422" i="22"/>
  <c r="BE422" i="22" s="1"/>
  <c r="AS422" i="22"/>
  <c r="BD422" i="22" s="1"/>
  <c r="AR422" i="22"/>
  <c r="BC422" i="22" s="1"/>
  <c r="AQ422" i="22"/>
  <c r="BB422" i="22" s="1"/>
  <c r="AP422" i="22"/>
  <c r="BA422" i="22" s="1"/>
  <c r="AO422" i="22"/>
  <c r="AZ422" i="22" s="1"/>
  <c r="AW421" i="22"/>
  <c r="BH421" i="22" s="1"/>
  <c r="AV421" i="22"/>
  <c r="BG421" i="22" s="1"/>
  <c r="AU421" i="22"/>
  <c r="BF421" i="22" s="1"/>
  <c r="AT421" i="22"/>
  <c r="BE421" i="22" s="1"/>
  <c r="AS421" i="22"/>
  <c r="BD421" i="22" s="1"/>
  <c r="AR421" i="22"/>
  <c r="BC421" i="22" s="1"/>
  <c r="AQ421" i="22"/>
  <c r="BB421" i="22" s="1"/>
  <c r="AP421" i="22"/>
  <c r="BA421" i="22" s="1"/>
  <c r="AO421" i="22"/>
  <c r="AZ421" i="22" s="1"/>
  <c r="AW420" i="22"/>
  <c r="BH420" i="22" s="1"/>
  <c r="AV420" i="22"/>
  <c r="BG420" i="22" s="1"/>
  <c r="AU420" i="22"/>
  <c r="BF420" i="22" s="1"/>
  <c r="AT420" i="22"/>
  <c r="BE420" i="22" s="1"/>
  <c r="AS420" i="22"/>
  <c r="BD420" i="22" s="1"/>
  <c r="AR420" i="22"/>
  <c r="BC420" i="22" s="1"/>
  <c r="AQ420" i="22"/>
  <c r="BB420" i="22" s="1"/>
  <c r="AP420" i="22"/>
  <c r="BA420" i="22" s="1"/>
  <c r="AO420" i="22"/>
  <c r="AZ420" i="22" s="1"/>
  <c r="AW419" i="22"/>
  <c r="BH419" i="22" s="1"/>
  <c r="AV419" i="22"/>
  <c r="BG419" i="22" s="1"/>
  <c r="AU419" i="22"/>
  <c r="BF419" i="22" s="1"/>
  <c r="AT419" i="22"/>
  <c r="BE419" i="22" s="1"/>
  <c r="AS419" i="22"/>
  <c r="BD419" i="22" s="1"/>
  <c r="AR419" i="22"/>
  <c r="BC419" i="22" s="1"/>
  <c r="AQ419" i="22"/>
  <c r="BB419" i="22" s="1"/>
  <c r="AP419" i="22"/>
  <c r="BA419" i="22" s="1"/>
  <c r="AO419" i="22"/>
  <c r="AZ419" i="22" s="1"/>
  <c r="AW418" i="22"/>
  <c r="BH418" i="22" s="1"/>
  <c r="AV418" i="22"/>
  <c r="BG418" i="22" s="1"/>
  <c r="AU418" i="22"/>
  <c r="BF418" i="22" s="1"/>
  <c r="AT418" i="22"/>
  <c r="BE418" i="22" s="1"/>
  <c r="AS418" i="22"/>
  <c r="BD418" i="22" s="1"/>
  <c r="AR418" i="22"/>
  <c r="BC418" i="22" s="1"/>
  <c r="AQ418" i="22"/>
  <c r="BB418" i="22" s="1"/>
  <c r="AP418" i="22"/>
  <c r="BA418" i="22" s="1"/>
  <c r="AO418" i="22"/>
  <c r="AZ418" i="22" s="1"/>
  <c r="AW417" i="22"/>
  <c r="BH417" i="22" s="1"/>
  <c r="AV417" i="22"/>
  <c r="BG417" i="22" s="1"/>
  <c r="AU417" i="22"/>
  <c r="BF417" i="22" s="1"/>
  <c r="AT417" i="22"/>
  <c r="BE417" i="22" s="1"/>
  <c r="AS417" i="22"/>
  <c r="BD417" i="22" s="1"/>
  <c r="AR417" i="22"/>
  <c r="BC417" i="22" s="1"/>
  <c r="AQ417" i="22"/>
  <c r="BB417" i="22" s="1"/>
  <c r="AP417" i="22"/>
  <c r="BA417" i="22" s="1"/>
  <c r="AO417" i="22"/>
  <c r="AZ417" i="22" s="1"/>
  <c r="AW416" i="22"/>
  <c r="BH416" i="22" s="1"/>
  <c r="AV416" i="22"/>
  <c r="BG416" i="22" s="1"/>
  <c r="AU416" i="22"/>
  <c r="BF416" i="22" s="1"/>
  <c r="AT416" i="22"/>
  <c r="BE416" i="22" s="1"/>
  <c r="AS416" i="22"/>
  <c r="BD416" i="22" s="1"/>
  <c r="AR416" i="22"/>
  <c r="BC416" i="22" s="1"/>
  <c r="AQ416" i="22"/>
  <c r="BB416" i="22" s="1"/>
  <c r="AP416" i="22"/>
  <c r="BA416" i="22" s="1"/>
  <c r="AO416" i="22"/>
  <c r="AZ416" i="22" s="1"/>
  <c r="AW415" i="22"/>
  <c r="BH415" i="22" s="1"/>
  <c r="AV415" i="22"/>
  <c r="BG415" i="22" s="1"/>
  <c r="AU415" i="22"/>
  <c r="BF415" i="22" s="1"/>
  <c r="AT415" i="22"/>
  <c r="BE415" i="22" s="1"/>
  <c r="AS415" i="22"/>
  <c r="BD415" i="22" s="1"/>
  <c r="AR415" i="22"/>
  <c r="BC415" i="22" s="1"/>
  <c r="AQ415" i="22"/>
  <c r="BB415" i="22" s="1"/>
  <c r="AP415" i="22"/>
  <c r="BA415" i="22" s="1"/>
  <c r="AO415" i="22"/>
  <c r="AZ415" i="22" s="1"/>
  <c r="AW414" i="22"/>
  <c r="BH414" i="22" s="1"/>
  <c r="AV414" i="22"/>
  <c r="BG414" i="22" s="1"/>
  <c r="AU414" i="22"/>
  <c r="BF414" i="22" s="1"/>
  <c r="AT414" i="22"/>
  <c r="BE414" i="22" s="1"/>
  <c r="AS414" i="22"/>
  <c r="BD414" i="22" s="1"/>
  <c r="AR414" i="22"/>
  <c r="BC414" i="22" s="1"/>
  <c r="AQ414" i="22"/>
  <c r="BB414" i="22" s="1"/>
  <c r="AP414" i="22"/>
  <c r="BA414" i="22" s="1"/>
  <c r="AO414" i="22"/>
  <c r="AZ414" i="22" s="1"/>
  <c r="AW413" i="22"/>
  <c r="BH413" i="22" s="1"/>
  <c r="AV413" i="22"/>
  <c r="BG413" i="22" s="1"/>
  <c r="AU413" i="22"/>
  <c r="BF413" i="22" s="1"/>
  <c r="AT413" i="22"/>
  <c r="BE413" i="22" s="1"/>
  <c r="AS413" i="22"/>
  <c r="BD413" i="22" s="1"/>
  <c r="AR413" i="22"/>
  <c r="BC413" i="22" s="1"/>
  <c r="AQ413" i="22"/>
  <c r="BB413" i="22" s="1"/>
  <c r="AP413" i="22"/>
  <c r="BA413" i="22" s="1"/>
  <c r="AO413" i="22"/>
  <c r="AZ413" i="22" s="1"/>
  <c r="AW412" i="22"/>
  <c r="BH412" i="22" s="1"/>
  <c r="AV412" i="22"/>
  <c r="BG412" i="22" s="1"/>
  <c r="AU412" i="22"/>
  <c r="BF412" i="22" s="1"/>
  <c r="AT412" i="22"/>
  <c r="BE412" i="22" s="1"/>
  <c r="AS412" i="22"/>
  <c r="BD412" i="22" s="1"/>
  <c r="AR412" i="22"/>
  <c r="BC412" i="22" s="1"/>
  <c r="AQ412" i="22"/>
  <c r="BB412" i="22" s="1"/>
  <c r="AP412" i="22"/>
  <c r="BA412" i="22" s="1"/>
  <c r="AO412" i="22"/>
  <c r="AZ412" i="22" s="1"/>
  <c r="AW411" i="22"/>
  <c r="BH411" i="22" s="1"/>
  <c r="AV411" i="22"/>
  <c r="BG411" i="22" s="1"/>
  <c r="AU411" i="22"/>
  <c r="BF411" i="22" s="1"/>
  <c r="AT411" i="22"/>
  <c r="BE411" i="22" s="1"/>
  <c r="AS411" i="22"/>
  <c r="BD411" i="22" s="1"/>
  <c r="AR411" i="22"/>
  <c r="BC411" i="22" s="1"/>
  <c r="AQ411" i="22"/>
  <c r="BB411" i="22" s="1"/>
  <c r="AP411" i="22"/>
  <c r="BA411" i="22" s="1"/>
  <c r="AO411" i="22"/>
  <c r="AZ411" i="22" s="1"/>
  <c r="AW410" i="22"/>
  <c r="BH410" i="22" s="1"/>
  <c r="AV410" i="22"/>
  <c r="BG410" i="22" s="1"/>
  <c r="AU410" i="22"/>
  <c r="BF410" i="22" s="1"/>
  <c r="AT410" i="22"/>
  <c r="BE410" i="22" s="1"/>
  <c r="AS410" i="22"/>
  <c r="BD410" i="22" s="1"/>
  <c r="AR410" i="22"/>
  <c r="BC410" i="22" s="1"/>
  <c r="AQ410" i="22"/>
  <c r="BB410" i="22" s="1"/>
  <c r="AP410" i="22"/>
  <c r="BA410" i="22" s="1"/>
  <c r="AO410" i="22"/>
  <c r="AZ410" i="22" s="1"/>
  <c r="AW409" i="22"/>
  <c r="BH409" i="22" s="1"/>
  <c r="AV409" i="22"/>
  <c r="BG409" i="22" s="1"/>
  <c r="AU409" i="22"/>
  <c r="BF409" i="22" s="1"/>
  <c r="AT409" i="22"/>
  <c r="BE409" i="22" s="1"/>
  <c r="AS409" i="22"/>
  <c r="BD409" i="22" s="1"/>
  <c r="AR409" i="22"/>
  <c r="BC409" i="22" s="1"/>
  <c r="AQ409" i="22"/>
  <c r="BB409" i="22" s="1"/>
  <c r="AP409" i="22"/>
  <c r="BA409" i="22" s="1"/>
  <c r="AO409" i="22"/>
  <c r="AZ409" i="22" s="1"/>
  <c r="AW408" i="22"/>
  <c r="BH408" i="22" s="1"/>
  <c r="AV408" i="22"/>
  <c r="BG408" i="22" s="1"/>
  <c r="AU408" i="22"/>
  <c r="BF408" i="22" s="1"/>
  <c r="AT408" i="22"/>
  <c r="BE408" i="22" s="1"/>
  <c r="AS408" i="22"/>
  <c r="BD408" i="22" s="1"/>
  <c r="AR408" i="22"/>
  <c r="BC408" i="22" s="1"/>
  <c r="AQ408" i="22"/>
  <c r="BB408" i="22" s="1"/>
  <c r="AP408" i="22"/>
  <c r="BA408" i="22" s="1"/>
  <c r="AO408" i="22"/>
  <c r="AZ408" i="22" s="1"/>
  <c r="AW407" i="22"/>
  <c r="BH407" i="22" s="1"/>
  <c r="AV407" i="22"/>
  <c r="BG407" i="22" s="1"/>
  <c r="AU407" i="22"/>
  <c r="BF407" i="22" s="1"/>
  <c r="AT407" i="22"/>
  <c r="BE407" i="22" s="1"/>
  <c r="AS407" i="22"/>
  <c r="BD407" i="22" s="1"/>
  <c r="AR407" i="22"/>
  <c r="BC407" i="22" s="1"/>
  <c r="AQ407" i="22"/>
  <c r="BB407" i="22" s="1"/>
  <c r="AP407" i="22"/>
  <c r="BA407" i="22" s="1"/>
  <c r="AO407" i="22"/>
  <c r="AZ407" i="22" s="1"/>
  <c r="AW406" i="22"/>
  <c r="BH406" i="22" s="1"/>
  <c r="AV406" i="22"/>
  <c r="BG406" i="22" s="1"/>
  <c r="AU406" i="22"/>
  <c r="BF406" i="22" s="1"/>
  <c r="AT406" i="22"/>
  <c r="BE406" i="22" s="1"/>
  <c r="AS406" i="22"/>
  <c r="BD406" i="22" s="1"/>
  <c r="AR406" i="22"/>
  <c r="BC406" i="22" s="1"/>
  <c r="AQ406" i="22"/>
  <c r="BB406" i="22" s="1"/>
  <c r="AP406" i="22"/>
  <c r="BA406" i="22" s="1"/>
  <c r="AO406" i="22"/>
  <c r="AZ406" i="22" s="1"/>
  <c r="AW405" i="22"/>
  <c r="BH405" i="22" s="1"/>
  <c r="AV405" i="22"/>
  <c r="BG405" i="22" s="1"/>
  <c r="AU405" i="22"/>
  <c r="BF405" i="22" s="1"/>
  <c r="AT405" i="22"/>
  <c r="BE405" i="22" s="1"/>
  <c r="AS405" i="22"/>
  <c r="BD405" i="22" s="1"/>
  <c r="AR405" i="22"/>
  <c r="BC405" i="22" s="1"/>
  <c r="AQ405" i="22"/>
  <c r="BB405" i="22" s="1"/>
  <c r="AP405" i="22"/>
  <c r="BA405" i="22" s="1"/>
  <c r="AO405" i="22"/>
  <c r="AZ405" i="22" s="1"/>
  <c r="AW404" i="22"/>
  <c r="BH404" i="22" s="1"/>
  <c r="AV404" i="22"/>
  <c r="BG404" i="22" s="1"/>
  <c r="AU404" i="22"/>
  <c r="BF404" i="22" s="1"/>
  <c r="AT404" i="22"/>
  <c r="BE404" i="22" s="1"/>
  <c r="AS404" i="22"/>
  <c r="BD404" i="22" s="1"/>
  <c r="AR404" i="22"/>
  <c r="BC404" i="22" s="1"/>
  <c r="AQ404" i="22"/>
  <c r="BB404" i="22" s="1"/>
  <c r="AP404" i="22"/>
  <c r="BA404" i="22" s="1"/>
  <c r="AO404" i="22"/>
  <c r="AZ404" i="22" s="1"/>
  <c r="AW403" i="22"/>
  <c r="BH403" i="22" s="1"/>
  <c r="AV403" i="22"/>
  <c r="BG403" i="22" s="1"/>
  <c r="AU403" i="22"/>
  <c r="BF403" i="22" s="1"/>
  <c r="AT403" i="22"/>
  <c r="BE403" i="22" s="1"/>
  <c r="AS403" i="22"/>
  <c r="BD403" i="22" s="1"/>
  <c r="AR403" i="22"/>
  <c r="BC403" i="22" s="1"/>
  <c r="AQ403" i="22"/>
  <c r="BB403" i="22" s="1"/>
  <c r="AP403" i="22"/>
  <c r="BA403" i="22" s="1"/>
  <c r="AO403" i="22"/>
  <c r="AZ403" i="22" s="1"/>
  <c r="AW402" i="22"/>
  <c r="BH402" i="22" s="1"/>
  <c r="AV402" i="22"/>
  <c r="BG402" i="22" s="1"/>
  <c r="AU402" i="22"/>
  <c r="BF402" i="22" s="1"/>
  <c r="AT402" i="22"/>
  <c r="BE402" i="22" s="1"/>
  <c r="AS402" i="22"/>
  <c r="BD402" i="22" s="1"/>
  <c r="AR402" i="22"/>
  <c r="BC402" i="22" s="1"/>
  <c r="AQ402" i="22"/>
  <c r="BB402" i="22" s="1"/>
  <c r="AP402" i="22"/>
  <c r="BA402" i="22" s="1"/>
  <c r="AO402" i="22"/>
  <c r="AZ402" i="22" s="1"/>
  <c r="AW401" i="22"/>
  <c r="BH401" i="22" s="1"/>
  <c r="AV401" i="22"/>
  <c r="BG401" i="22" s="1"/>
  <c r="AU401" i="22"/>
  <c r="BF401" i="22" s="1"/>
  <c r="AT401" i="22"/>
  <c r="BE401" i="22" s="1"/>
  <c r="AS401" i="22"/>
  <c r="BD401" i="22" s="1"/>
  <c r="AR401" i="22"/>
  <c r="BC401" i="22" s="1"/>
  <c r="AQ401" i="22"/>
  <c r="BB401" i="22" s="1"/>
  <c r="AP401" i="22"/>
  <c r="BA401" i="22" s="1"/>
  <c r="AO401" i="22"/>
  <c r="AZ401" i="22" s="1"/>
  <c r="AW400" i="22"/>
  <c r="BH400" i="22" s="1"/>
  <c r="AV400" i="22"/>
  <c r="BG400" i="22" s="1"/>
  <c r="AU400" i="22"/>
  <c r="BF400" i="22" s="1"/>
  <c r="AT400" i="22"/>
  <c r="BE400" i="22" s="1"/>
  <c r="AS400" i="22"/>
  <c r="BD400" i="22" s="1"/>
  <c r="AR400" i="22"/>
  <c r="BC400" i="22" s="1"/>
  <c r="AQ400" i="22"/>
  <c r="BB400" i="22" s="1"/>
  <c r="AP400" i="22"/>
  <c r="BA400" i="22" s="1"/>
  <c r="AO400" i="22"/>
  <c r="AZ400" i="22" s="1"/>
  <c r="AW398" i="22"/>
  <c r="BH398" i="22" s="1"/>
  <c r="AV398" i="22"/>
  <c r="BG398" i="22" s="1"/>
  <c r="AU398" i="22"/>
  <c r="BF398" i="22" s="1"/>
  <c r="AT398" i="22"/>
  <c r="BE398" i="22" s="1"/>
  <c r="AS398" i="22"/>
  <c r="BD398" i="22" s="1"/>
  <c r="AR398" i="22"/>
  <c r="BC398" i="22" s="1"/>
  <c r="AQ398" i="22"/>
  <c r="BB398" i="22" s="1"/>
  <c r="AP398" i="22"/>
  <c r="BA398" i="22" s="1"/>
  <c r="AO398" i="22"/>
  <c r="AZ398" i="22" s="1"/>
  <c r="AW397" i="22"/>
  <c r="BH397" i="22" s="1"/>
  <c r="AV397" i="22"/>
  <c r="BG397" i="22" s="1"/>
  <c r="AU397" i="22"/>
  <c r="BF397" i="22" s="1"/>
  <c r="AT397" i="22"/>
  <c r="BE397" i="22" s="1"/>
  <c r="AS397" i="22"/>
  <c r="BD397" i="22" s="1"/>
  <c r="AR397" i="22"/>
  <c r="BC397" i="22" s="1"/>
  <c r="AQ397" i="22"/>
  <c r="BB397" i="22" s="1"/>
  <c r="AP397" i="22"/>
  <c r="BA397" i="22" s="1"/>
  <c r="AO397" i="22"/>
  <c r="AZ397" i="22" s="1"/>
  <c r="AW396" i="22"/>
  <c r="BH396" i="22" s="1"/>
  <c r="AV396" i="22"/>
  <c r="BG396" i="22" s="1"/>
  <c r="AU396" i="22"/>
  <c r="BF396" i="22" s="1"/>
  <c r="AT396" i="22"/>
  <c r="BE396" i="22" s="1"/>
  <c r="AS396" i="22"/>
  <c r="BD396" i="22" s="1"/>
  <c r="AR396" i="22"/>
  <c r="BC396" i="22" s="1"/>
  <c r="AQ396" i="22"/>
  <c r="BB396" i="22" s="1"/>
  <c r="AP396" i="22"/>
  <c r="BA396" i="22" s="1"/>
  <c r="AO396" i="22"/>
  <c r="AZ396" i="22" s="1"/>
  <c r="AW395" i="22"/>
  <c r="BH395" i="22" s="1"/>
  <c r="AV395" i="22"/>
  <c r="BG395" i="22" s="1"/>
  <c r="AU395" i="22"/>
  <c r="BF395" i="22" s="1"/>
  <c r="AT395" i="22"/>
  <c r="BE395" i="22" s="1"/>
  <c r="AS395" i="22"/>
  <c r="BD395" i="22" s="1"/>
  <c r="AR395" i="22"/>
  <c r="BC395" i="22" s="1"/>
  <c r="AQ395" i="22"/>
  <c r="BB395" i="22" s="1"/>
  <c r="AP395" i="22"/>
  <c r="BA395" i="22" s="1"/>
  <c r="AO395" i="22"/>
  <c r="AZ395" i="22" s="1"/>
  <c r="AW394" i="22"/>
  <c r="BH394" i="22" s="1"/>
  <c r="AV394" i="22"/>
  <c r="BG394" i="22" s="1"/>
  <c r="AU394" i="22"/>
  <c r="BF394" i="22" s="1"/>
  <c r="AT394" i="22"/>
  <c r="BE394" i="22" s="1"/>
  <c r="AS394" i="22"/>
  <c r="BD394" i="22" s="1"/>
  <c r="AR394" i="22"/>
  <c r="BC394" i="22" s="1"/>
  <c r="AQ394" i="22"/>
  <c r="BB394" i="22" s="1"/>
  <c r="AP394" i="22"/>
  <c r="BA394" i="22" s="1"/>
  <c r="AO394" i="22"/>
  <c r="AZ394" i="22" s="1"/>
  <c r="AW393" i="22"/>
  <c r="BH393" i="22" s="1"/>
  <c r="AV393" i="22"/>
  <c r="BG393" i="22" s="1"/>
  <c r="AU393" i="22"/>
  <c r="BF393" i="22" s="1"/>
  <c r="AT393" i="22"/>
  <c r="BE393" i="22" s="1"/>
  <c r="AS393" i="22"/>
  <c r="BD393" i="22" s="1"/>
  <c r="AR393" i="22"/>
  <c r="BC393" i="22" s="1"/>
  <c r="AQ393" i="22"/>
  <c r="BB393" i="22" s="1"/>
  <c r="AP393" i="22"/>
  <c r="BA393" i="22" s="1"/>
  <c r="AO393" i="22"/>
  <c r="AZ393" i="22" s="1"/>
  <c r="AW392" i="22"/>
  <c r="BH392" i="22" s="1"/>
  <c r="AV392" i="22"/>
  <c r="BG392" i="22" s="1"/>
  <c r="AU392" i="22"/>
  <c r="BF392" i="22" s="1"/>
  <c r="AT392" i="22"/>
  <c r="BE392" i="22" s="1"/>
  <c r="AS392" i="22"/>
  <c r="BD392" i="22" s="1"/>
  <c r="AR392" i="22"/>
  <c r="BC392" i="22" s="1"/>
  <c r="AQ392" i="22"/>
  <c r="BB392" i="22" s="1"/>
  <c r="AP392" i="22"/>
  <c r="BA392" i="22" s="1"/>
  <c r="AO392" i="22"/>
  <c r="AZ392" i="22" s="1"/>
  <c r="AW391" i="22"/>
  <c r="BH391" i="22" s="1"/>
  <c r="AV391" i="22"/>
  <c r="BG391" i="22" s="1"/>
  <c r="AU391" i="22"/>
  <c r="BF391" i="22" s="1"/>
  <c r="AT391" i="22"/>
  <c r="BE391" i="22" s="1"/>
  <c r="AS391" i="22"/>
  <c r="BD391" i="22" s="1"/>
  <c r="AR391" i="22"/>
  <c r="BC391" i="22" s="1"/>
  <c r="AQ391" i="22"/>
  <c r="BB391" i="22" s="1"/>
  <c r="AP391" i="22"/>
  <c r="BA391" i="22" s="1"/>
  <c r="AO391" i="22"/>
  <c r="AZ391" i="22" s="1"/>
  <c r="AW390" i="22"/>
  <c r="BH390" i="22" s="1"/>
  <c r="AV390" i="22"/>
  <c r="BG390" i="22" s="1"/>
  <c r="AU390" i="22"/>
  <c r="BF390" i="22" s="1"/>
  <c r="AT390" i="22"/>
  <c r="BE390" i="22" s="1"/>
  <c r="AS390" i="22"/>
  <c r="BD390" i="22" s="1"/>
  <c r="AR390" i="22"/>
  <c r="BC390" i="22" s="1"/>
  <c r="AQ390" i="22"/>
  <c r="BB390" i="22" s="1"/>
  <c r="AP390" i="22"/>
  <c r="BA390" i="22" s="1"/>
  <c r="AO390" i="22"/>
  <c r="AZ390" i="22" s="1"/>
  <c r="AW389" i="22"/>
  <c r="BH389" i="22" s="1"/>
  <c r="AV389" i="22"/>
  <c r="BG389" i="22" s="1"/>
  <c r="AU389" i="22"/>
  <c r="BF389" i="22" s="1"/>
  <c r="AT389" i="22"/>
  <c r="BE389" i="22" s="1"/>
  <c r="AS389" i="22"/>
  <c r="BD389" i="22" s="1"/>
  <c r="AR389" i="22"/>
  <c r="BC389" i="22" s="1"/>
  <c r="AQ389" i="22"/>
  <c r="BB389" i="22" s="1"/>
  <c r="AP389" i="22"/>
  <c r="BA389" i="22" s="1"/>
  <c r="AO389" i="22"/>
  <c r="AZ389" i="22" s="1"/>
  <c r="AW388" i="22"/>
  <c r="BH388" i="22" s="1"/>
  <c r="AV388" i="22"/>
  <c r="BG388" i="22" s="1"/>
  <c r="AU388" i="22"/>
  <c r="BF388" i="22" s="1"/>
  <c r="AT388" i="22"/>
  <c r="BE388" i="22" s="1"/>
  <c r="AS388" i="22"/>
  <c r="BD388" i="22" s="1"/>
  <c r="AR388" i="22"/>
  <c r="BC388" i="22" s="1"/>
  <c r="AQ388" i="22"/>
  <c r="BB388" i="22" s="1"/>
  <c r="AP388" i="22"/>
  <c r="BA388" i="22" s="1"/>
  <c r="AO388" i="22"/>
  <c r="AZ388" i="22" s="1"/>
  <c r="AW387" i="22"/>
  <c r="BH387" i="22" s="1"/>
  <c r="AV387" i="22"/>
  <c r="BG387" i="22" s="1"/>
  <c r="AU387" i="22"/>
  <c r="BF387" i="22" s="1"/>
  <c r="AT387" i="22"/>
  <c r="BE387" i="22" s="1"/>
  <c r="AS387" i="22"/>
  <c r="BD387" i="22" s="1"/>
  <c r="AR387" i="22"/>
  <c r="BC387" i="22" s="1"/>
  <c r="AQ387" i="22"/>
  <c r="BB387" i="22" s="1"/>
  <c r="AP387" i="22"/>
  <c r="BA387" i="22" s="1"/>
  <c r="AO387" i="22"/>
  <c r="AZ387" i="22" s="1"/>
  <c r="AW386" i="22"/>
  <c r="BH386" i="22" s="1"/>
  <c r="AV386" i="22"/>
  <c r="BG386" i="22" s="1"/>
  <c r="AU386" i="22"/>
  <c r="BF386" i="22" s="1"/>
  <c r="AT386" i="22"/>
  <c r="BE386" i="22" s="1"/>
  <c r="AS386" i="22"/>
  <c r="BD386" i="22" s="1"/>
  <c r="AR386" i="22"/>
  <c r="BC386" i="22" s="1"/>
  <c r="AQ386" i="22"/>
  <c r="BB386" i="22" s="1"/>
  <c r="AP386" i="22"/>
  <c r="BA386" i="22" s="1"/>
  <c r="AO386" i="22"/>
  <c r="AZ386" i="22" s="1"/>
  <c r="AW385" i="22"/>
  <c r="BH385" i="22" s="1"/>
  <c r="AV385" i="22"/>
  <c r="BG385" i="22" s="1"/>
  <c r="AU385" i="22"/>
  <c r="BF385" i="22" s="1"/>
  <c r="AT385" i="22"/>
  <c r="BE385" i="22" s="1"/>
  <c r="AS385" i="22"/>
  <c r="BD385" i="22" s="1"/>
  <c r="AR385" i="22"/>
  <c r="BC385" i="22" s="1"/>
  <c r="AQ385" i="22"/>
  <c r="BB385" i="22" s="1"/>
  <c r="AP385" i="22"/>
  <c r="BA385" i="22" s="1"/>
  <c r="AO385" i="22"/>
  <c r="AZ385" i="22" s="1"/>
  <c r="AW384" i="22"/>
  <c r="BH384" i="22" s="1"/>
  <c r="AV384" i="22"/>
  <c r="BG384" i="22" s="1"/>
  <c r="AU384" i="22"/>
  <c r="BF384" i="22" s="1"/>
  <c r="AT384" i="22"/>
  <c r="BE384" i="22" s="1"/>
  <c r="AS384" i="22"/>
  <c r="BD384" i="22" s="1"/>
  <c r="AR384" i="22"/>
  <c r="BC384" i="22" s="1"/>
  <c r="AQ384" i="22"/>
  <c r="BB384" i="22" s="1"/>
  <c r="AP384" i="22"/>
  <c r="BA384" i="22" s="1"/>
  <c r="AO384" i="22"/>
  <c r="AZ384" i="22" s="1"/>
  <c r="AW383" i="22"/>
  <c r="BH383" i="22" s="1"/>
  <c r="AV383" i="22"/>
  <c r="BG383" i="22" s="1"/>
  <c r="AU383" i="22"/>
  <c r="BF383" i="22" s="1"/>
  <c r="AT383" i="22"/>
  <c r="BE383" i="22" s="1"/>
  <c r="AS383" i="22"/>
  <c r="BD383" i="22" s="1"/>
  <c r="AR383" i="22"/>
  <c r="BC383" i="22" s="1"/>
  <c r="AQ383" i="22"/>
  <c r="BB383" i="22" s="1"/>
  <c r="AP383" i="22"/>
  <c r="BA383" i="22" s="1"/>
  <c r="AO383" i="22"/>
  <c r="AZ383" i="22" s="1"/>
  <c r="AW382" i="22"/>
  <c r="BH382" i="22" s="1"/>
  <c r="AV382" i="22"/>
  <c r="BG382" i="22" s="1"/>
  <c r="AU382" i="22"/>
  <c r="BF382" i="22" s="1"/>
  <c r="AT382" i="22"/>
  <c r="BE382" i="22" s="1"/>
  <c r="AS382" i="22"/>
  <c r="BD382" i="22" s="1"/>
  <c r="AR382" i="22"/>
  <c r="BC382" i="22" s="1"/>
  <c r="AQ382" i="22"/>
  <c r="BB382" i="22" s="1"/>
  <c r="AP382" i="22"/>
  <c r="BA382" i="22" s="1"/>
  <c r="AO382" i="22"/>
  <c r="AZ382" i="22" s="1"/>
  <c r="AW381" i="22"/>
  <c r="BH381" i="22" s="1"/>
  <c r="AV381" i="22"/>
  <c r="BG381" i="22" s="1"/>
  <c r="AU381" i="22"/>
  <c r="BF381" i="22" s="1"/>
  <c r="AT381" i="22"/>
  <c r="BE381" i="22" s="1"/>
  <c r="AS381" i="22"/>
  <c r="BD381" i="22" s="1"/>
  <c r="AR381" i="22"/>
  <c r="BC381" i="22" s="1"/>
  <c r="AQ381" i="22"/>
  <c r="BB381" i="22" s="1"/>
  <c r="AP381" i="22"/>
  <c r="BA381" i="22" s="1"/>
  <c r="AO381" i="22"/>
  <c r="AZ381" i="22" s="1"/>
  <c r="AW380" i="22"/>
  <c r="BH380" i="22" s="1"/>
  <c r="AV380" i="22"/>
  <c r="BG380" i="22" s="1"/>
  <c r="AU380" i="22"/>
  <c r="BF380" i="22" s="1"/>
  <c r="AT380" i="22"/>
  <c r="BE380" i="22" s="1"/>
  <c r="AS380" i="22"/>
  <c r="BD380" i="22" s="1"/>
  <c r="AR380" i="22"/>
  <c r="BC380" i="22" s="1"/>
  <c r="AQ380" i="22"/>
  <c r="BB380" i="22" s="1"/>
  <c r="AP380" i="22"/>
  <c r="BA380" i="22" s="1"/>
  <c r="AO380" i="22"/>
  <c r="AZ380" i="22" s="1"/>
  <c r="AW379" i="22"/>
  <c r="BH379" i="22" s="1"/>
  <c r="AV379" i="22"/>
  <c r="BG379" i="22" s="1"/>
  <c r="AU379" i="22"/>
  <c r="BF379" i="22" s="1"/>
  <c r="AT379" i="22"/>
  <c r="BE379" i="22" s="1"/>
  <c r="AS379" i="22"/>
  <c r="BD379" i="22" s="1"/>
  <c r="AR379" i="22"/>
  <c r="BC379" i="22" s="1"/>
  <c r="AQ379" i="22"/>
  <c r="BB379" i="22" s="1"/>
  <c r="AP379" i="22"/>
  <c r="BA379" i="22" s="1"/>
  <c r="AO379" i="22"/>
  <c r="AZ379" i="22" s="1"/>
  <c r="AW378" i="22"/>
  <c r="BH378" i="22" s="1"/>
  <c r="AV378" i="22"/>
  <c r="BG378" i="22" s="1"/>
  <c r="AU378" i="22"/>
  <c r="BF378" i="22" s="1"/>
  <c r="AT378" i="22"/>
  <c r="BE378" i="22" s="1"/>
  <c r="AS378" i="22"/>
  <c r="BD378" i="22" s="1"/>
  <c r="AR378" i="22"/>
  <c r="BC378" i="22" s="1"/>
  <c r="AQ378" i="22"/>
  <c r="BB378" i="22" s="1"/>
  <c r="AP378" i="22"/>
  <c r="BA378" i="22" s="1"/>
  <c r="AO378" i="22"/>
  <c r="AZ378" i="22" s="1"/>
  <c r="AW377" i="22"/>
  <c r="BH377" i="22" s="1"/>
  <c r="AV377" i="22"/>
  <c r="BG377" i="22" s="1"/>
  <c r="AU377" i="22"/>
  <c r="BF377" i="22" s="1"/>
  <c r="AT377" i="22"/>
  <c r="BE377" i="22" s="1"/>
  <c r="AS377" i="22"/>
  <c r="BD377" i="22" s="1"/>
  <c r="AR377" i="22"/>
  <c r="BC377" i="22" s="1"/>
  <c r="AQ377" i="22"/>
  <c r="BB377" i="22" s="1"/>
  <c r="AP377" i="22"/>
  <c r="BA377" i="22" s="1"/>
  <c r="AO377" i="22"/>
  <c r="AZ377" i="22" s="1"/>
  <c r="AW376" i="22"/>
  <c r="BH376" i="22" s="1"/>
  <c r="AV376" i="22"/>
  <c r="BG376" i="22" s="1"/>
  <c r="AU376" i="22"/>
  <c r="BF376" i="22" s="1"/>
  <c r="AT376" i="22"/>
  <c r="BE376" i="22" s="1"/>
  <c r="AS376" i="22"/>
  <c r="BD376" i="22" s="1"/>
  <c r="AR376" i="22"/>
  <c r="BC376" i="22" s="1"/>
  <c r="AQ376" i="22"/>
  <c r="BB376" i="22" s="1"/>
  <c r="AP376" i="22"/>
  <c r="BA376" i="22" s="1"/>
  <c r="AO376" i="22"/>
  <c r="AZ376" i="22" s="1"/>
  <c r="AW375" i="22"/>
  <c r="BH375" i="22" s="1"/>
  <c r="AV375" i="22"/>
  <c r="BG375" i="22" s="1"/>
  <c r="AU375" i="22"/>
  <c r="BF375" i="22" s="1"/>
  <c r="AT375" i="22"/>
  <c r="BE375" i="22" s="1"/>
  <c r="AS375" i="22"/>
  <c r="BD375" i="22" s="1"/>
  <c r="AR375" i="22"/>
  <c r="BC375" i="22" s="1"/>
  <c r="AQ375" i="22"/>
  <c r="BB375" i="22" s="1"/>
  <c r="AP375" i="22"/>
  <c r="BA375" i="22" s="1"/>
  <c r="AO375" i="22"/>
  <c r="AZ375" i="22" s="1"/>
  <c r="AW374" i="22"/>
  <c r="BH374" i="22" s="1"/>
  <c r="AV374" i="22"/>
  <c r="BG374" i="22" s="1"/>
  <c r="AU374" i="22"/>
  <c r="BF374" i="22" s="1"/>
  <c r="AT374" i="22"/>
  <c r="BE374" i="22" s="1"/>
  <c r="AS374" i="22"/>
  <c r="BD374" i="22" s="1"/>
  <c r="AR374" i="22"/>
  <c r="BC374" i="22" s="1"/>
  <c r="AQ374" i="22"/>
  <c r="BB374" i="22" s="1"/>
  <c r="AP374" i="22"/>
  <c r="BA374" i="22" s="1"/>
  <c r="AO374" i="22"/>
  <c r="AZ374" i="22" s="1"/>
  <c r="AW373" i="22"/>
  <c r="BH373" i="22" s="1"/>
  <c r="AV373" i="22"/>
  <c r="BG373" i="22" s="1"/>
  <c r="AU373" i="22"/>
  <c r="BF373" i="22" s="1"/>
  <c r="AT373" i="22"/>
  <c r="BE373" i="22" s="1"/>
  <c r="AS373" i="22"/>
  <c r="BD373" i="22" s="1"/>
  <c r="AR373" i="22"/>
  <c r="BC373" i="22" s="1"/>
  <c r="AQ373" i="22"/>
  <c r="BB373" i="22" s="1"/>
  <c r="AP373" i="22"/>
  <c r="BA373" i="22" s="1"/>
  <c r="AO373" i="22"/>
  <c r="AZ373" i="22" s="1"/>
  <c r="AW372" i="22"/>
  <c r="BH372" i="22" s="1"/>
  <c r="AV372" i="22"/>
  <c r="BG372" i="22" s="1"/>
  <c r="AU372" i="22"/>
  <c r="BF372" i="22" s="1"/>
  <c r="AT372" i="22"/>
  <c r="BE372" i="22" s="1"/>
  <c r="AS372" i="22"/>
  <c r="BD372" i="22" s="1"/>
  <c r="AR372" i="22"/>
  <c r="BC372" i="22" s="1"/>
  <c r="AQ372" i="22"/>
  <c r="BB372" i="22" s="1"/>
  <c r="AP372" i="22"/>
  <c r="BA372" i="22" s="1"/>
  <c r="AO372" i="22"/>
  <c r="AZ372" i="22" s="1"/>
  <c r="AW371" i="22"/>
  <c r="BH371" i="22" s="1"/>
  <c r="AV371" i="22"/>
  <c r="BG371" i="22" s="1"/>
  <c r="AU371" i="22"/>
  <c r="BF371" i="22" s="1"/>
  <c r="AT371" i="22"/>
  <c r="BE371" i="22" s="1"/>
  <c r="AS371" i="22"/>
  <c r="BD371" i="22" s="1"/>
  <c r="AR371" i="22"/>
  <c r="BC371" i="22" s="1"/>
  <c r="AQ371" i="22"/>
  <c r="BB371" i="22" s="1"/>
  <c r="AP371" i="22"/>
  <c r="BA371" i="22" s="1"/>
  <c r="AO371" i="22"/>
  <c r="AZ371" i="22" s="1"/>
  <c r="AW370" i="22"/>
  <c r="BH370" i="22" s="1"/>
  <c r="AV370" i="22"/>
  <c r="BG370" i="22" s="1"/>
  <c r="AU370" i="22"/>
  <c r="BF370" i="22" s="1"/>
  <c r="AT370" i="22"/>
  <c r="BE370" i="22" s="1"/>
  <c r="AS370" i="22"/>
  <c r="BD370" i="22" s="1"/>
  <c r="AR370" i="22"/>
  <c r="BC370" i="22" s="1"/>
  <c r="AQ370" i="22"/>
  <c r="BB370" i="22" s="1"/>
  <c r="AP370" i="22"/>
  <c r="BA370" i="22" s="1"/>
  <c r="AO370" i="22"/>
  <c r="AZ370" i="22" s="1"/>
  <c r="AW369" i="22"/>
  <c r="BH369" i="22" s="1"/>
  <c r="AV369" i="22"/>
  <c r="BG369" i="22" s="1"/>
  <c r="AU369" i="22"/>
  <c r="BF369" i="22" s="1"/>
  <c r="AT369" i="22"/>
  <c r="BE369" i="22" s="1"/>
  <c r="AS369" i="22"/>
  <c r="BD369" i="22" s="1"/>
  <c r="AR369" i="22"/>
  <c r="BC369" i="22" s="1"/>
  <c r="AQ369" i="22"/>
  <c r="BB369" i="22" s="1"/>
  <c r="AP369" i="22"/>
  <c r="BA369" i="22" s="1"/>
  <c r="AO369" i="22"/>
  <c r="AZ369" i="22" s="1"/>
  <c r="AW368" i="22"/>
  <c r="BH368" i="22" s="1"/>
  <c r="AV368" i="22"/>
  <c r="BG368" i="22" s="1"/>
  <c r="AU368" i="22"/>
  <c r="BF368" i="22" s="1"/>
  <c r="AT368" i="22"/>
  <c r="BE368" i="22" s="1"/>
  <c r="AS368" i="22"/>
  <c r="BD368" i="22" s="1"/>
  <c r="AR368" i="22"/>
  <c r="BC368" i="22" s="1"/>
  <c r="AQ368" i="22"/>
  <c r="BB368" i="22" s="1"/>
  <c r="AP368" i="22"/>
  <c r="BA368" i="22" s="1"/>
  <c r="AO368" i="22"/>
  <c r="AZ368" i="22" s="1"/>
  <c r="AW367" i="22"/>
  <c r="BH367" i="22" s="1"/>
  <c r="AV367" i="22"/>
  <c r="BG367" i="22" s="1"/>
  <c r="AU367" i="22"/>
  <c r="BF367" i="22" s="1"/>
  <c r="AT367" i="22"/>
  <c r="BE367" i="22" s="1"/>
  <c r="AS367" i="22"/>
  <c r="BD367" i="22" s="1"/>
  <c r="AR367" i="22"/>
  <c r="BC367" i="22" s="1"/>
  <c r="AQ367" i="22"/>
  <c r="BB367" i="22" s="1"/>
  <c r="AP367" i="22"/>
  <c r="BA367" i="22" s="1"/>
  <c r="AO367" i="22"/>
  <c r="AZ367" i="22" s="1"/>
  <c r="AW366" i="22"/>
  <c r="BH366" i="22" s="1"/>
  <c r="AV366" i="22"/>
  <c r="BG366" i="22" s="1"/>
  <c r="AU366" i="22"/>
  <c r="BF366" i="22" s="1"/>
  <c r="AT366" i="22"/>
  <c r="BE366" i="22" s="1"/>
  <c r="AS366" i="22"/>
  <c r="BD366" i="22" s="1"/>
  <c r="AR366" i="22"/>
  <c r="BC366" i="22" s="1"/>
  <c r="AQ366" i="22"/>
  <c r="BB366" i="22" s="1"/>
  <c r="AP366" i="22"/>
  <c r="BA366" i="22" s="1"/>
  <c r="AO366" i="22"/>
  <c r="AZ366" i="22" s="1"/>
  <c r="AW365" i="22"/>
  <c r="BH365" i="22" s="1"/>
  <c r="AV365" i="22"/>
  <c r="BG365" i="22" s="1"/>
  <c r="AU365" i="22"/>
  <c r="BF365" i="22" s="1"/>
  <c r="AT365" i="22"/>
  <c r="BE365" i="22" s="1"/>
  <c r="AS365" i="22"/>
  <c r="BD365" i="22" s="1"/>
  <c r="AR365" i="22"/>
  <c r="BC365" i="22" s="1"/>
  <c r="AQ365" i="22"/>
  <c r="BB365" i="22" s="1"/>
  <c r="AP365" i="22"/>
  <c r="BA365" i="22" s="1"/>
  <c r="AO365" i="22"/>
  <c r="AZ365" i="22" s="1"/>
  <c r="AW364" i="22"/>
  <c r="BH364" i="22" s="1"/>
  <c r="AV364" i="22"/>
  <c r="BG364" i="22" s="1"/>
  <c r="AU364" i="22"/>
  <c r="BF364" i="22" s="1"/>
  <c r="AT364" i="22"/>
  <c r="BE364" i="22" s="1"/>
  <c r="AS364" i="22"/>
  <c r="BD364" i="22" s="1"/>
  <c r="AR364" i="22"/>
  <c r="BC364" i="22" s="1"/>
  <c r="AQ364" i="22"/>
  <c r="BB364" i="22" s="1"/>
  <c r="AP364" i="22"/>
  <c r="BA364" i="22" s="1"/>
  <c r="AO364" i="22"/>
  <c r="AZ364" i="22" s="1"/>
  <c r="AW363" i="22"/>
  <c r="BH363" i="22" s="1"/>
  <c r="AV363" i="22"/>
  <c r="BG363" i="22" s="1"/>
  <c r="AU363" i="22"/>
  <c r="BF363" i="22" s="1"/>
  <c r="AT363" i="22"/>
  <c r="BE363" i="22" s="1"/>
  <c r="AS363" i="22"/>
  <c r="BD363" i="22" s="1"/>
  <c r="AR363" i="22"/>
  <c r="BC363" i="22" s="1"/>
  <c r="AQ363" i="22"/>
  <c r="BB363" i="22" s="1"/>
  <c r="AP363" i="22"/>
  <c r="BA363" i="22" s="1"/>
  <c r="AO363" i="22"/>
  <c r="AZ363" i="22" s="1"/>
  <c r="AW362" i="22"/>
  <c r="BH362" i="22" s="1"/>
  <c r="AV362" i="22"/>
  <c r="BG362" i="22" s="1"/>
  <c r="AU362" i="22"/>
  <c r="BF362" i="22" s="1"/>
  <c r="AT362" i="22"/>
  <c r="BE362" i="22" s="1"/>
  <c r="AS362" i="22"/>
  <c r="BD362" i="22" s="1"/>
  <c r="AR362" i="22"/>
  <c r="BC362" i="22" s="1"/>
  <c r="AQ362" i="22"/>
  <c r="BB362" i="22" s="1"/>
  <c r="AP362" i="22"/>
  <c r="BA362" i="22" s="1"/>
  <c r="AO362" i="22"/>
  <c r="AZ362" i="22" s="1"/>
  <c r="AW361" i="22"/>
  <c r="BH361" i="22" s="1"/>
  <c r="AV361" i="22"/>
  <c r="BG361" i="22" s="1"/>
  <c r="AU361" i="22"/>
  <c r="BF361" i="22" s="1"/>
  <c r="AT361" i="22"/>
  <c r="BE361" i="22" s="1"/>
  <c r="AS361" i="22"/>
  <c r="BD361" i="22" s="1"/>
  <c r="AR361" i="22"/>
  <c r="BC361" i="22" s="1"/>
  <c r="AQ361" i="22"/>
  <c r="BB361" i="22" s="1"/>
  <c r="AP361" i="22"/>
  <c r="BA361" i="22" s="1"/>
  <c r="AO361" i="22"/>
  <c r="AZ361" i="22" s="1"/>
  <c r="AW360" i="22"/>
  <c r="BH360" i="22" s="1"/>
  <c r="AV360" i="22"/>
  <c r="BG360" i="22" s="1"/>
  <c r="AU360" i="22"/>
  <c r="BF360" i="22" s="1"/>
  <c r="AT360" i="22"/>
  <c r="BE360" i="22" s="1"/>
  <c r="AS360" i="22"/>
  <c r="BD360" i="22" s="1"/>
  <c r="AR360" i="22"/>
  <c r="BC360" i="22" s="1"/>
  <c r="AQ360" i="22"/>
  <c r="BB360" i="22" s="1"/>
  <c r="AP360" i="22"/>
  <c r="BA360" i="22" s="1"/>
  <c r="AO360" i="22"/>
  <c r="AZ360" i="22" s="1"/>
  <c r="AW359" i="22"/>
  <c r="BH359" i="22" s="1"/>
  <c r="AV359" i="22"/>
  <c r="BG359" i="22" s="1"/>
  <c r="AU359" i="22"/>
  <c r="BF359" i="22" s="1"/>
  <c r="AT359" i="22"/>
  <c r="BE359" i="22" s="1"/>
  <c r="AS359" i="22"/>
  <c r="BD359" i="22" s="1"/>
  <c r="AR359" i="22"/>
  <c r="BC359" i="22" s="1"/>
  <c r="AQ359" i="22"/>
  <c r="BB359" i="22" s="1"/>
  <c r="AP359" i="22"/>
  <c r="BA359" i="22" s="1"/>
  <c r="AO359" i="22"/>
  <c r="AZ359" i="22" s="1"/>
  <c r="AW357" i="22"/>
  <c r="BH357" i="22" s="1"/>
  <c r="AV357" i="22"/>
  <c r="BG357" i="22" s="1"/>
  <c r="AU357" i="22"/>
  <c r="BF357" i="22" s="1"/>
  <c r="AT357" i="22"/>
  <c r="BE357" i="22" s="1"/>
  <c r="AS357" i="22"/>
  <c r="BD357" i="22" s="1"/>
  <c r="AR357" i="22"/>
  <c r="BC357" i="22" s="1"/>
  <c r="AQ357" i="22"/>
  <c r="BB357" i="22" s="1"/>
  <c r="AP357" i="22"/>
  <c r="BA357" i="22" s="1"/>
  <c r="AO357" i="22"/>
  <c r="AZ357" i="22" s="1"/>
  <c r="AW356" i="22"/>
  <c r="BH356" i="22" s="1"/>
  <c r="AV356" i="22"/>
  <c r="BG356" i="22" s="1"/>
  <c r="AU356" i="22"/>
  <c r="BF356" i="22" s="1"/>
  <c r="AT356" i="22"/>
  <c r="BE356" i="22" s="1"/>
  <c r="AS356" i="22"/>
  <c r="BD356" i="22" s="1"/>
  <c r="AR356" i="22"/>
  <c r="BC356" i="22" s="1"/>
  <c r="AQ356" i="22"/>
  <c r="BB356" i="22" s="1"/>
  <c r="AP356" i="22"/>
  <c r="BA356" i="22" s="1"/>
  <c r="AO356" i="22"/>
  <c r="AZ356" i="22" s="1"/>
  <c r="AW355" i="22"/>
  <c r="BH355" i="22" s="1"/>
  <c r="AV355" i="22"/>
  <c r="BG355" i="22" s="1"/>
  <c r="AU355" i="22"/>
  <c r="BF355" i="22" s="1"/>
  <c r="AT355" i="22"/>
  <c r="BE355" i="22" s="1"/>
  <c r="AS355" i="22"/>
  <c r="BD355" i="22" s="1"/>
  <c r="AR355" i="22"/>
  <c r="BC355" i="22" s="1"/>
  <c r="AQ355" i="22"/>
  <c r="BB355" i="22" s="1"/>
  <c r="AP355" i="22"/>
  <c r="BA355" i="22" s="1"/>
  <c r="AO355" i="22"/>
  <c r="AZ355" i="22" s="1"/>
  <c r="AW354" i="22"/>
  <c r="BH354" i="22" s="1"/>
  <c r="AV354" i="22"/>
  <c r="BG354" i="22" s="1"/>
  <c r="AU354" i="22"/>
  <c r="BF354" i="22" s="1"/>
  <c r="AT354" i="22"/>
  <c r="BE354" i="22" s="1"/>
  <c r="AS354" i="22"/>
  <c r="BD354" i="22" s="1"/>
  <c r="AR354" i="22"/>
  <c r="BC354" i="22" s="1"/>
  <c r="AQ354" i="22"/>
  <c r="BB354" i="22" s="1"/>
  <c r="AP354" i="22"/>
  <c r="BA354" i="22" s="1"/>
  <c r="AO354" i="22"/>
  <c r="AZ354" i="22" s="1"/>
  <c r="AW353" i="22"/>
  <c r="BH353" i="22" s="1"/>
  <c r="AV353" i="22"/>
  <c r="BG353" i="22" s="1"/>
  <c r="AU353" i="22"/>
  <c r="BF353" i="22" s="1"/>
  <c r="AT353" i="22"/>
  <c r="BE353" i="22" s="1"/>
  <c r="AS353" i="22"/>
  <c r="BD353" i="22" s="1"/>
  <c r="AR353" i="22"/>
  <c r="BC353" i="22" s="1"/>
  <c r="AQ353" i="22"/>
  <c r="BB353" i="22" s="1"/>
  <c r="AP353" i="22"/>
  <c r="BA353" i="22" s="1"/>
  <c r="AO353" i="22"/>
  <c r="AZ353" i="22" s="1"/>
  <c r="AW352" i="22"/>
  <c r="BH352" i="22" s="1"/>
  <c r="AV352" i="22"/>
  <c r="BG352" i="22" s="1"/>
  <c r="AU352" i="22"/>
  <c r="BF352" i="22" s="1"/>
  <c r="AT352" i="22"/>
  <c r="BE352" i="22" s="1"/>
  <c r="AS352" i="22"/>
  <c r="BD352" i="22" s="1"/>
  <c r="AR352" i="22"/>
  <c r="BC352" i="22" s="1"/>
  <c r="AQ352" i="22"/>
  <c r="BB352" i="22" s="1"/>
  <c r="AP352" i="22"/>
  <c r="BA352" i="22" s="1"/>
  <c r="AO352" i="22"/>
  <c r="AZ352" i="22" s="1"/>
  <c r="AW351" i="22"/>
  <c r="BH351" i="22" s="1"/>
  <c r="AV351" i="22"/>
  <c r="BG351" i="22" s="1"/>
  <c r="AU351" i="22"/>
  <c r="BF351" i="22" s="1"/>
  <c r="AT351" i="22"/>
  <c r="BE351" i="22" s="1"/>
  <c r="AS351" i="22"/>
  <c r="BD351" i="22" s="1"/>
  <c r="AR351" i="22"/>
  <c r="BC351" i="22" s="1"/>
  <c r="AQ351" i="22"/>
  <c r="BB351" i="22" s="1"/>
  <c r="AP351" i="22"/>
  <c r="BA351" i="22" s="1"/>
  <c r="AO351" i="22"/>
  <c r="AZ351" i="22" s="1"/>
  <c r="AW350" i="22"/>
  <c r="BH350" i="22" s="1"/>
  <c r="AV350" i="22"/>
  <c r="BG350" i="22" s="1"/>
  <c r="AU350" i="22"/>
  <c r="BF350" i="22" s="1"/>
  <c r="AT350" i="22"/>
  <c r="BE350" i="22" s="1"/>
  <c r="AS350" i="22"/>
  <c r="BD350" i="22" s="1"/>
  <c r="AR350" i="22"/>
  <c r="BC350" i="22" s="1"/>
  <c r="AQ350" i="22"/>
  <c r="BB350" i="22" s="1"/>
  <c r="AP350" i="22"/>
  <c r="BA350" i="22" s="1"/>
  <c r="AO350" i="22"/>
  <c r="AZ350" i="22" s="1"/>
  <c r="AW349" i="22"/>
  <c r="BH349" i="22" s="1"/>
  <c r="AV349" i="22"/>
  <c r="BG349" i="22" s="1"/>
  <c r="AU349" i="22"/>
  <c r="BF349" i="22" s="1"/>
  <c r="AT349" i="22"/>
  <c r="BE349" i="22" s="1"/>
  <c r="AS349" i="22"/>
  <c r="BD349" i="22" s="1"/>
  <c r="AR349" i="22"/>
  <c r="BC349" i="22" s="1"/>
  <c r="AQ349" i="22"/>
  <c r="BB349" i="22" s="1"/>
  <c r="AP349" i="22"/>
  <c r="BA349" i="22" s="1"/>
  <c r="AO349" i="22"/>
  <c r="AZ349" i="22" s="1"/>
  <c r="AW348" i="22"/>
  <c r="BH348" i="22" s="1"/>
  <c r="AV348" i="22"/>
  <c r="BG348" i="22" s="1"/>
  <c r="AU348" i="22"/>
  <c r="BF348" i="22" s="1"/>
  <c r="AT348" i="22"/>
  <c r="BE348" i="22" s="1"/>
  <c r="AS348" i="22"/>
  <c r="BD348" i="22" s="1"/>
  <c r="AR348" i="22"/>
  <c r="BC348" i="22" s="1"/>
  <c r="AQ348" i="22"/>
  <c r="BB348" i="22" s="1"/>
  <c r="AP348" i="22"/>
  <c r="BA348" i="22" s="1"/>
  <c r="AO348" i="22"/>
  <c r="AZ348" i="22" s="1"/>
  <c r="AW347" i="22"/>
  <c r="BH347" i="22" s="1"/>
  <c r="AV347" i="22"/>
  <c r="BG347" i="22" s="1"/>
  <c r="AU347" i="22"/>
  <c r="BF347" i="22" s="1"/>
  <c r="AT347" i="22"/>
  <c r="BE347" i="22" s="1"/>
  <c r="AS347" i="22"/>
  <c r="BD347" i="22" s="1"/>
  <c r="AR347" i="22"/>
  <c r="BC347" i="22" s="1"/>
  <c r="AQ347" i="22"/>
  <c r="BB347" i="22" s="1"/>
  <c r="AP347" i="22"/>
  <c r="BA347" i="22" s="1"/>
  <c r="AO347" i="22"/>
  <c r="AZ347" i="22" s="1"/>
  <c r="AW346" i="22"/>
  <c r="BH346" i="22" s="1"/>
  <c r="AV346" i="22"/>
  <c r="BG346" i="22" s="1"/>
  <c r="AU346" i="22"/>
  <c r="BF346" i="22" s="1"/>
  <c r="AT346" i="22"/>
  <c r="BE346" i="22" s="1"/>
  <c r="AS346" i="22"/>
  <c r="BD346" i="22" s="1"/>
  <c r="AR346" i="22"/>
  <c r="BC346" i="22" s="1"/>
  <c r="AQ346" i="22"/>
  <c r="BB346" i="22" s="1"/>
  <c r="AP346" i="22"/>
  <c r="BA346" i="22" s="1"/>
  <c r="AO346" i="22"/>
  <c r="AZ346" i="22" s="1"/>
  <c r="AW345" i="22"/>
  <c r="BH345" i="22" s="1"/>
  <c r="AV345" i="22"/>
  <c r="BG345" i="22" s="1"/>
  <c r="AU345" i="22"/>
  <c r="BF345" i="22" s="1"/>
  <c r="AT345" i="22"/>
  <c r="BE345" i="22" s="1"/>
  <c r="AS345" i="22"/>
  <c r="BD345" i="22" s="1"/>
  <c r="AR345" i="22"/>
  <c r="BC345" i="22" s="1"/>
  <c r="AQ345" i="22"/>
  <c r="BB345" i="22" s="1"/>
  <c r="AP345" i="22"/>
  <c r="BA345" i="22" s="1"/>
  <c r="AO345" i="22"/>
  <c r="AZ345" i="22" s="1"/>
  <c r="AW344" i="22"/>
  <c r="BH344" i="22" s="1"/>
  <c r="AV344" i="22"/>
  <c r="BG344" i="22" s="1"/>
  <c r="AU344" i="22"/>
  <c r="BF344" i="22" s="1"/>
  <c r="AT344" i="22"/>
  <c r="BE344" i="22" s="1"/>
  <c r="AS344" i="22"/>
  <c r="BD344" i="22" s="1"/>
  <c r="AR344" i="22"/>
  <c r="BC344" i="22" s="1"/>
  <c r="AQ344" i="22"/>
  <c r="BB344" i="22" s="1"/>
  <c r="AP344" i="22"/>
  <c r="BA344" i="22" s="1"/>
  <c r="AO344" i="22"/>
  <c r="AZ344" i="22" s="1"/>
  <c r="AW343" i="22"/>
  <c r="BH343" i="22" s="1"/>
  <c r="AV343" i="22"/>
  <c r="BG343" i="22" s="1"/>
  <c r="AU343" i="22"/>
  <c r="BF343" i="22" s="1"/>
  <c r="AT343" i="22"/>
  <c r="BE343" i="22" s="1"/>
  <c r="AS343" i="22"/>
  <c r="BD343" i="22" s="1"/>
  <c r="AR343" i="22"/>
  <c r="BC343" i="22" s="1"/>
  <c r="AQ343" i="22"/>
  <c r="BB343" i="22" s="1"/>
  <c r="AP343" i="22"/>
  <c r="BA343" i="22" s="1"/>
  <c r="AO343" i="22"/>
  <c r="AZ343" i="22" s="1"/>
  <c r="AW342" i="22"/>
  <c r="BH342" i="22" s="1"/>
  <c r="AV342" i="22"/>
  <c r="BG342" i="22" s="1"/>
  <c r="AU342" i="22"/>
  <c r="BF342" i="22" s="1"/>
  <c r="AT342" i="22"/>
  <c r="BE342" i="22" s="1"/>
  <c r="AS342" i="22"/>
  <c r="BD342" i="22" s="1"/>
  <c r="AR342" i="22"/>
  <c r="BC342" i="22" s="1"/>
  <c r="AQ342" i="22"/>
  <c r="BB342" i="22" s="1"/>
  <c r="AP342" i="22"/>
  <c r="BA342" i="22" s="1"/>
  <c r="AO342" i="22"/>
  <c r="AZ342" i="22" s="1"/>
  <c r="AW341" i="22"/>
  <c r="BH341" i="22" s="1"/>
  <c r="AV341" i="22"/>
  <c r="BG341" i="22" s="1"/>
  <c r="AU341" i="22"/>
  <c r="BF341" i="22" s="1"/>
  <c r="AT341" i="22"/>
  <c r="BE341" i="22" s="1"/>
  <c r="AS341" i="22"/>
  <c r="BD341" i="22" s="1"/>
  <c r="AR341" i="22"/>
  <c r="BC341" i="22" s="1"/>
  <c r="AQ341" i="22"/>
  <c r="BB341" i="22" s="1"/>
  <c r="AP341" i="22"/>
  <c r="BA341" i="22" s="1"/>
  <c r="AO341" i="22"/>
  <c r="AZ341" i="22" s="1"/>
  <c r="AW340" i="22"/>
  <c r="BH340" i="22" s="1"/>
  <c r="AV340" i="22"/>
  <c r="BG340" i="22" s="1"/>
  <c r="AU340" i="22"/>
  <c r="BF340" i="22" s="1"/>
  <c r="AT340" i="22"/>
  <c r="BE340" i="22" s="1"/>
  <c r="AS340" i="22"/>
  <c r="BD340" i="22" s="1"/>
  <c r="AR340" i="22"/>
  <c r="BC340" i="22" s="1"/>
  <c r="AQ340" i="22"/>
  <c r="BB340" i="22" s="1"/>
  <c r="AP340" i="22"/>
  <c r="BA340" i="22" s="1"/>
  <c r="AO340" i="22"/>
  <c r="AZ340" i="22" s="1"/>
  <c r="AW339" i="22"/>
  <c r="BH339" i="22" s="1"/>
  <c r="AV339" i="22"/>
  <c r="BG339" i="22" s="1"/>
  <c r="AU339" i="22"/>
  <c r="BF339" i="22" s="1"/>
  <c r="AT339" i="22"/>
  <c r="BE339" i="22" s="1"/>
  <c r="AS339" i="22"/>
  <c r="BD339" i="22" s="1"/>
  <c r="AR339" i="22"/>
  <c r="BC339" i="22" s="1"/>
  <c r="AQ339" i="22"/>
  <c r="BB339" i="22" s="1"/>
  <c r="AP339" i="22"/>
  <c r="BA339" i="22" s="1"/>
  <c r="AO339" i="22"/>
  <c r="AZ339" i="22" s="1"/>
  <c r="AW338" i="22"/>
  <c r="BH338" i="22" s="1"/>
  <c r="AV338" i="22"/>
  <c r="BG338" i="22" s="1"/>
  <c r="AU338" i="22"/>
  <c r="BF338" i="22" s="1"/>
  <c r="AT338" i="22"/>
  <c r="BE338" i="22" s="1"/>
  <c r="AS338" i="22"/>
  <c r="BD338" i="22" s="1"/>
  <c r="AR338" i="22"/>
  <c r="BC338" i="22" s="1"/>
  <c r="AQ338" i="22"/>
  <c r="BB338" i="22" s="1"/>
  <c r="AP338" i="22"/>
  <c r="BA338" i="22" s="1"/>
  <c r="AO338" i="22"/>
  <c r="AZ338" i="22" s="1"/>
  <c r="AW337" i="22"/>
  <c r="BH337" i="22" s="1"/>
  <c r="AV337" i="22"/>
  <c r="BG337" i="22" s="1"/>
  <c r="AU337" i="22"/>
  <c r="BF337" i="22" s="1"/>
  <c r="AT337" i="22"/>
  <c r="BE337" i="22" s="1"/>
  <c r="AS337" i="22"/>
  <c r="BD337" i="22" s="1"/>
  <c r="AR337" i="22"/>
  <c r="BC337" i="22" s="1"/>
  <c r="AQ337" i="22"/>
  <c r="BB337" i="22" s="1"/>
  <c r="AP337" i="22"/>
  <c r="BA337" i="22" s="1"/>
  <c r="AO337" i="22"/>
  <c r="AZ337" i="22" s="1"/>
  <c r="AW336" i="22"/>
  <c r="BH336" i="22" s="1"/>
  <c r="AV336" i="22"/>
  <c r="BG336" i="22" s="1"/>
  <c r="AU336" i="22"/>
  <c r="BF336" i="22" s="1"/>
  <c r="AT336" i="22"/>
  <c r="BE336" i="22" s="1"/>
  <c r="AS336" i="22"/>
  <c r="BD336" i="22" s="1"/>
  <c r="AR336" i="22"/>
  <c r="BC336" i="22" s="1"/>
  <c r="AQ336" i="22"/>
  <c r="BB336" i="22" s="1"/>
  <c r="AP336" i="22"/>
  <c r="BA336" i="22" s="1"/>
  <c r="AO336" i="22"/>
  <c r="AZ336" i="22" s="1"/>
  <c r="AW335" i="22"/>
  <c r="BH335" i="22" s="1"/>
  <c r="AV335" i="22"/>
  <c r="BG335" i="22" s="1"/>
  <c r="AU335" i="22"/>
  <c r="BF335" i="22" s="1"/>
  <c r="AT335" i="22"/>
  <c r="BE335" i="22" s="1"/>
  <c r="AS335" i="22"/>
  <c r="BD335" i="22" s="1"/>
  <c r="AR335" i="22"/>
  <c r="BC335" i="22" s="1"/>
  <c r="AQ335" i="22"/>
  <c r="BB335" i="22" s="1"/>
  <c r="AP335" i="22"/>
  <c r="BA335" i="22" s="1"/>
  <c r="AO335" i="22"/>
  <c r="AZ335" i="22" s="1"/>
  <c r="AW334" i="22"/>
  <c r="BH334" i="22" s="1"/>
  <c r="AV334" i="22"/>
  <c r="BG334" i="22" s="1"/>
  <c r="AU334" i="22"/>
  <c r="BF334" i="22" s="1"/>
  <c r="AT334" i="22"/>
  <c r="BE334" i="22" s="1"/>
  <c r="AS334" i="22"/>
  <c r="BD334" i="22" s="1"/>
  <c r="AR334" i="22"/>
  <c r="BC334" i="22" s="1"/>
  <c r="AQ334" i="22"/>
  <c r="BB334" i="22" s="1"/>
  <c r="AP334" i="22"/>
  <c r="BA334" i="22" s="1"/>
  <c r="AO334" i="22"/>
  <c r="AZ334" i="22" s="1"/>
  <c r="AW333" i="22"/>
  <c r="BH333" i="22" s="1"/>
  <c r="AV333" i="22"/>
  <c r="BG333" i="22" s="1"/>
  <c r="AU333" i="22"/>
  <c r="BF333" i="22" s="1"/>
  <c r="AT333" i="22"/>
  <c r="BE333" i="22" s="1"/>
  <c r="AS333" i="22"/>
  <c r="BD333" i="22" s="1"/>
  <c r="AR333" i="22"/>
  <c r="BC333" i="22" s="1"/>
  <c r="AQ333" i="22"/>
  <c r="BB333" i="22" s="1"/>
  <c r="AP333" i="22"/>
  <c r="BA333" i="22" s="1"/>
  <c r="AO333" i="22"/>
  <c r="AZ333" i="22" s="1"/>
  <c r="AW332" i="22"/>
  <c r="BH332" i="22" s="1"/>
  <c r="AV332" i="22"/>
  <c r="BG332" i="22" s="1"/>
  <c r="AU332" i="22"/>
  <c r="BF332" i="22" s="1"/>
  <c r="AT332" i="22"/>
  <c r="BE332" i="22" s="1"/>
  <c r="AS332" i="22"/>
  <c r="BD332" i="22" s="1"/>
  <c r="AR332" i="22"/>
  <c r="BC332" i="22" s="1"/>
  <c r="AQ332" i="22"/>
  <c r="BB332" i="22" s="1"/>
  <c r="AP332" i="22"/>
  <c r="BA332" i="22" s="1"/>
  <c r="AO332" i="22"/>
  <c r="AZ332" i="22" s="1"/>
  <c r="AW331" i="22"/>
  <c r="BH331" i="22" s="1"/>
  <c r="AV331" i="22"/>
  <c r="BG331" i="22" s="1"/>
  <c r="AU331" i="22"/>
  <c r="BF331" i="22" s="1"/>
  <c r="AT331" i="22"/>
  <c r="BE331" i="22" s="1"/>
  <c r="AS331" i="22"/>
  <c r="BD331" i="22" s="1"/>
  <c r="AR331" i="22"/>
  <c r="BC331" i="22" s="1"/>
  <c r="AQ331" i="22"/>
  <c r="BB331" i="22" s="1"/>
  <c r="AP331" i="22"/>
  <c r="BA331" i="22" s="1"/>
  <c r="AO331" i="22"/>
  <c r="AZ331" i="22" s="1"/>
  <c r="AW330" i="22"/>
  <c r="BH330" i="22" s="1"/>
  <c r="AV330" i="22"/>
  <c r="BG330" i="22" s="1"/>
  <c r="AU330" i="22"/>
  <c r="BF330" i="22" s="1"/>
  <c r="AT330" i="22"/>
  <c r="BE330" i="22" s="1"/>
  <c r="AS330" i="22"/>
  <c r="BD330" i="22" s="1"/>
  <c r="AR330" i="22"/>
  <c r="BC330" i="22" s="1"/>
  <c r="AQ330" i="22"/>
  <c r="BB330" i="22" s="1"/>
  <c r="AP330" i="22"/>
  <c r="BA330" i="22" s="1"/>
  <c r="AO330" i="22"/>
  <c r="AZ330" i="22" s="1"/>
  <c r="AW329" i="22"/>
  <c r="BH329" i="22" s="1"/>
  <c r="AV329" i="22"/>
  <c r="BG329" i="22" s="1"/>
  <c r="AU329" i="22"/>
  <c r="BF329" i="22" s="1"/>
  <c r="AT329" i="22"/>
  <c r="BE329" i="22" s="1"/>
  <c r="AS329" i="22"/>
  <c r="BD329" i="22" s="1"/>
  <c r="AR329" i="22"/>
  <c r="BC329" i="22" s="1"/>
  <c r="AQ329" i="22"/>
  <c r="BB329" i="22" s="1"/>
  <c r="AP329" i="22"/>
  <c r="BA329" i="22" s="1"/>
  <c r="AO329" i="22"/>
  <c r="AZ329" i="22" s="1"/>
  <c r="AW328" i="22"/>
  <c r="BH328" i="22" s="1"/>
  <c r="AV328" i="22"/>
  <c r="BG328" i="22" s="1"/>
  <c r="AU328" i="22"/>
  <c r="BF328" i="22" s="1"/>
  <c r="AT328" i="22"/>
  <c r="BE328" i="22" s="1"/>
  <c r="AS328" i="22"/>
  <c r="BD328" i="22" s="1"/>
  <c r="AR328" i="22"/>
  <c r="BC328" i="22" s="1"/>
  <c r="AQ328" i="22"/>
  <c r="BB328" i="22" s="1"/>
  <c r="AP328" i="22"/>
  <c r="BA328" i="22" s="1"/>
  <c r="AO328" i="22"/>
  <c r="AZ328" i="22" s="1"/>
  <c r="AW327" i="22"/>
  <c r="BH327" i="22" s="1"/>
  <c r="AV327" i="22"/>
  <c r="BG327" i="22" s="1"/>
  <c r="AU327" i="22"/>
  <c r="BF327" i="22" s="1"/>
  <c r="AT327" i="22"/>
  <c r="BE327" i="22" s="1"/>
  <c r="AS327" i="22"/>
  <c r="BD327" i="22" s="1"/>
  <c r="AR327" i="22"/>
  <c r="BC327" i="22" s="1"/>
  <c r="AQ327" i="22"/>
  <c r="BB327" i="22" s="1"/>
  <c r="AP327" i="22"/>
  <c r="BA327" i="22" s="1"/>
  <c r="AO327" i="22"/>
  <c r="AZ327" i="22" s="1"/>
  <c r="AW326" i="22"/>
  <c r="BH326" i="22" s="1"/>
  <c r="AV326" i="22"/>
  <c r="BG326" i="22" s="1"/>
  <c r="AU326" i="22"/>
  <c r="BF326" i="22" s="1"/>
  <c r="AT326" i="22"/>
  <c r="BE326" i="22" s="1"/>
  <c r="AS326" i="22"/>
  <c r="BD326" i="22" s="1"/>
  <c r="AR326" i="22"/>
  <c r="BC326" i="22" s="1"/>
  <c r="AQ326" i="22"/>
  <c r="BB326" i="22" s="1"/>
  <c r="AP326" i="22"/>
  <c r="BA326" i="22" s="1"/>
  <c r="AO326" i="22"/>
  <c r="AZ326" i="22" s="1"/>
  <c r="AW325" i="22"/>
  <c r="BH325" i="22" s="1"/>
  <c r="AV325" i="22"/>
  <c r="BG325" i="22" s="1"/>
  <c r="AU325" i="22"/>
  <c r="BF325" i="22" s="1"/>
  <c r="AT325" i="22"/>
  <c r="BE325" i="22" s="1"/>
  <c r="AS325" i="22"/>
  <c r="BD325" i="22" s="1"/>
  <c r="AR325" i="22"/>
  <c r="BC325" i="22" s="1"/>
  <c r="AQ325" i="22"/>
  <c r="BB325" i="22" s="1"/>
  <c r="AP325" i="22"/>
  <c r="BA325" i="22" s="1"/>
  <c r="AO325" i="22"/>
  <c r="AZ325" i="22" s="1"/>
  <c r="AW324" i="22"/>
  <c r="BH324" i="22" s="1"/>
  <c r="AV324" i="22"/>
  <c r="BG324" i="22" s="1"/>
  <c r="AU324" i="22"/>
  <c r="BF324" i="22" s="1"/>
  <c r="AT324" i="22"/>
  <c r="BE324" i="22" s="1"/>
  <c r="AS324" i="22"/>
  <c r="BD324" i="22" s="1"/>
  <c r="AR324" i="22"/>
  <c r="BC324" i="22" s="1"/>
  <c r="AQ324" i="22"/>
  <c r="BB324" i="22" s="1"/>
  <c r="AP324" i="22"/>
  <c r="BA324" i="22" s="1"/>
  <c r="AO324" i="22"/>
  <c r="AZ324" i="22" s="1"/>
  <c r="AW323" i="22"/>
  <c r="BH323" i="22" s="1"/>
  <c r="AV323" i="22"/>
  <c r="BG323" i="22" s="1"/>
  <c r="AU323" i="22"/>
  <c r="BF323" i="22" s="1"/>
  <c r="AT323" i="22"/>
  <c r="BE323" i="22" s="1"/>
  <c r="AS323" i="22"/>
  <c r="BD323" i="22" s="1"/>
  <c r="AR323" i="22"/>
  <c r="BC323" i="22" s="1"/>
  <c r="AQ323" i="22"/>
  <c r="BB323" i="22" s="1"/>
  <c r="AP323" i="22"/>
  <c r="BA323" i="22" s="1"/>
  <c r="AO323" i="22"/>
  <c r="AZ323" i="22" s="1"/>
  <c r="AW322" i="22"/>
  <c r="BH322" i="22" s="1"/>
  <c r="AV322" i="22"/>
  <c r="BG322" i="22" s="1"/>
  <c r="AU322" i="22"/>
  <c r="BF322" i="22" s="1"/>
  <c r="AT322" i="22"/>
  <c r="BE322" i="22" s="1"/>
  <c r="AS322" i="22"/>
  <c r="BD322" i="22" s="1"/>
  <c r="AR322" i="22"/>
  <c r="BC322" i="22" s="1"/>
  <c r="AQ322" i="22"/>
  <c r="BB322" i="22" s="1"/>
  <c r="AP322" i="22"/>
  <c r="BA322" i="22" s="1"/>
  <c r="AO322" i="22"/>
  <c r="AZ322" i="22" s="1"/>
  <c r="AW321" i="22"/>
  <c r="BH321" i="22" s="1"/>
  <c r="AV321" i="22"/>
  <c r="BG321" i="22" s="1"/>
  <c r="AU321" i="22"/>
  <c r="BF321" i="22" s="1"/>
  <c r="AT321" i="22"/>
  <c r="BE321" i="22" s="1"/>
  <c r="AS321" i="22"/>
  <c r="BD321" i="22" s="1"/>
  <c r="AR321" i="22"/>
  <c r="BC321" i="22" s="1"/>
  <c r="AQ321" i="22"/>
  <c r="BB321" i="22" s="1"/>
  <c r="AP321" i="22"/>
  <c r="BA321" i="22" s="1"/>
  <c r="AO321" i="22"/>
  <c r="AZ321" i="22" s="1"/>
  <c r="AW320" i="22"/>
  <c r="BH320" i="22" s="1"/>
  <c r="AV320" i="22"/>
  <c r="BG320" i="22" s="1"/>
  <c r="AU320" i="22"/>
  <c r="BF320" i="22" s="1"/>
  <c r="AT320" i="22"/>
  <c r="BE320" i="22" s="1"/>
  <c r="AS320" i="22"/>
  <c r="BD320" i="22" s="1"/>
  <c r="AR320" i="22"/>
  <c r="BC320" i="22" s="1"/>
  <c r="AQ320" i="22"/>
  <c r="BB320" i="22" s="1"/>
  <c r="AP320" i="22"/>
  <c r="BA320" i="22" s="1"/>
  <c r="AO320" i="22"/>
  <c r="AZ320" i="22" s="1"/>
  <c r="AW319" i="22"/>
  <c r="BH319" i="22" s="1"/>
  <c r="AV319" i="22"/>
  <c r="BG319" i="22" s="1"/>
  <c r="AU319" i="22"/>
  <c r="BF319" i="22" s="1"/>
  <c r="AT319" i="22"/>
  <c r="BE319" i="22" s="1"/>
  <c r="AS319" i="22"/>
  <c r="BD319" i="22" s="1"/>
  <c r="AR319" i="22"/>
  <c r="BC319" i="22" s="1"/>
  <c r="AQ319" i="22"/>
  <c r="BB319" i="22" s="1"/>
  <c r="AP319" i="22"/>
  <c r="BA319" i="22" s="1"/>
  <c r="AO319" i="22"/>
  <c r="AZ319" i="22" s="1"/>
  <c r="AW318" i="22"/>
  <c r="BH318" i="22" s="1"/>
  <c r="AV318" i="22"/>
  <c r="BG318" i="22" s="1"/>
  <c r="AU318" i="22"/>
  <c r="BF318" i="22" s="1"/>
  <c r="AT318" i="22"/>
  <c r="BE318" i="22" s="1"/>
  <c r="AS318" i="22"/>
  <c r="BD318" i="22" s="1"/>
  <c r="AR318" i="22"/>
  <c r="BC318" i="22" s="1"/>
  <c r="AQ318" i="22"/>
  <c r="BB318" i="22" s="1"/>
  <c r="AP318" i="22"/>
  <c r="BA318" i="22" s="1"/>
  <c r="AO318" i="22"/>
  <c r="AZ318" i="22" s="1"/>
  <c r="AW316" i="22"/>
  <c r="BH316" i="22" s="1"/>
  <c r="AV316" i="22"/>
  <c r="BG316" i="22" s="1"/>
  <c r="AU316" i="22"/>
  <c r="BF316" i="22" s="1"/>
  <c r="AT316" i="22"/>
  <c r="BE316" i="22" s="1"/>
  <c r="AS316" i="22"/>
  <c r="BD316" i="22" s="1"/>
  <c r="AR316" i="22"/>
  <c r="BC316" i="22" s="1"/>
  <c r="AQ316" i="22"/>
  <c r="BB316" i="22" s="1"/>
  <c r="AP316" i="22"/>
  <c r="BA316" i="22" s="1"/>
  <c r="AO316" i="22"/>
  <c r="AZ316" i="22" s="1"/>
  <c r="AW315" i="22"/>
  <c r="BH315" i="22" s="1"/>
  <c r="AV315" i="22"/>
  <c r="BG315" i="22" s="1"/>
  <c r="AU315" i="22"/>
  <c r="BF315" i="22" s="1"/>
  <c r="AT315" i="22"/>
  <c r="BE315" i="22" s="1"/>
  <c r="AS315" i="22"/>
  <c r="BD315" i="22" s="1"/>
  <c r="AR315" i="22"/>
  <c r="BC315" i="22" s="1"/>
  <c r="AQ315" i="22"/>
  <c r="BB315" i="22" s="1"/>
  <c r="AP315" i="22"/>
  <c r="BA315" i="22" s="1"/>
  <c r="AO315" i="22"/>
  <c r="AZ315" i="22" s="1"/>
  <c r="AW314" i="22"/>
  <c r="BH314" i="22" s="1"/>
  <c r="AV314" i="22"/>
  <c r="BG314" i="22" s="1"/>
  <c r="AU314" i="22"/>
  <c r="BF314" i="22" s="1"/>
  <c r="AT314" i="22"/>
  <c r="BE314" i="22" s="1"/>
  <c r="AS314" i="22"/>
  <c r="BD314" i="22" s="1"/>
  <c r="AR314" i="22"/>
  <c r="BC314" i="22" s="1"/>
  <c r="AQ314" i="22"/>
  <c r="BB314" i="22" s="1"/>
  <c r="AP314" i="22"/>
  <c r="BA314" i="22" s="1"/>
  <c r="AO314" i="22"/>
  <c r="AZ314" i="22" s="1"/>
  <c r="AW313" i="22"/>
  <c r="BH313" i="22" s="1"/>
  <c r="AV313" i="22"/>
  <c r="BG313" i="22" s="1"/>
  <c r="AU313" i="22"/>
  <c r="BF313" i="22" s="1"/>
  <c r="AT313" i="22"/>
  <c r="BE313" i="22" s="1"/>
  <c r="AS313" i="22"/>
  <c r="BD313" i="22" s="1"/>
  <c r="AR313" i="22"/>
  <c r="BC313" i="22" s="1"/>
  <c r="AQ313" i="22"/>
  <c r="BB313" i="22" s="1"/>
  <c r="AP313" i="22"/>
  <c r="BA313" i="22" s="1"/>
  <c r="AO313" i="22"/>
  <c r="AZ313" i="22" s="1"/>
  <c r="AW312" i="22"/>
  <c r="BH312" i="22" s="1"/>
  <c r="AV312" i="22"/>
  <c r="BG312" i="22" s="1"/>
  <c r="AU312" i="22"/>
  <c r="BF312" i="22" s="1"/>
  <c r="AT312" i="22"/>
  <c r="BE312" i="22" s="1"/>
  <c r="AS312" i="22"/>
  <c r="BD312" i="22" s="1"/>
  <c r="AR312" i="22"/>
  <c r="BC312" i="22" s="1"/>
  <c r="AQ312" i="22"/>
  <c r="BB312" i="22" s="1"/>
  <c r="AP312" i="22"/>
  <c r="BA312" i="22" s="1"/>
  <c r="AO312" i="22"/>
  <c r="AZ312" i="22" s="1"/>
  <c r="AW311" i="22"/>
  <c r="BH311" i="22" s="1"/>
  <c r="AV311" i="22"/>
  <c r="BG311" i="22" s="1"/>
  <c r="AU311" i="22"/>
  <c r="BF311" i="22" s="1"/>
  <c r="AT311" i="22"/>
  <c r="BE311" i="22" s="1"/>
  <c r="AS311" i="22"/>
  <c r="BD311" i="22" s="1"/>
  <c r="AR311" i="22"/>
  <c r="BC311" i="22" s="1"/>
  <c r="AQ311" i="22"/>
  <c r="BB311" i="22" s="1"/>
  <c r="AP311" i="22"/>
  <c r="BA311" i="22" s="1"/>
  <c r="AO311" i="22"/>
  <c r="AZ311" i="22" s="1"/>
  <c r="AW310" i="22"/>
  <c r="BH310" i="22" s="1"/>
  <c r="AV310" i="22"/>
  <c r="BG310" i="22" s="1"/>
  <c r="AU310" i="22"/>
  <c r="BF310" i="22" s="1"/>
  <c r="AT310" i="22"/>
  <c r="BE310" i="22" s="1"/>
  <c r="AS310" i="22"/>
  <c r="BD310" i="22" s="1"/>
  <c r="AR310" i="22"/>
  <c r="BC310" i="22" s="1"/>
  <c r="AQ310" i="22"/>
  <c r="BB310" i="22" s="1"/>
  <c r="AP310" i="22"/>
  <c r="BA310" i="22" s="1"/>
  <c r="AO310" i="22"/>
  <c r="AZ310" i="22" s="1"/>
  <c r="AW309" i="22"/>
  <c r="BH309" i="22" s="1"/>
  <c r="AV309" i="22"/>
  <c r="BG309" i="22" s="1"/>
  <c r="AU309" i="22"/>
  <c r="BF309" i="22" s="1"/>
  <c r="AT309" i="22"/>
  <c r="BE309" i="22" s="1"/>
  <c r="AS309" i="22"/>
  <c r="BD309" i="22" s="1"/>
  <c r="AR309" i="22"/>
  <c r="BC309" i="22" s="1"/>
  <c r="AQ309" i="22"/>
  <c r="BB309" i="22" s="1"/>
  <c r="AP309" i="22"/>
  <c r="BA309" i="22" s="1"/>
  <c r="AO309" i="22"/>
  <c r="AZ309" i="22" s="1"/>
  <c r="AW308" i="22"/>
  <c r="BH308" i="22" s="1"/>
  <c r="AV308" i="22"/>
  <c r="BG308" i="22" s="1"/>
  <c r="AU308" i="22"/>
  <c r="BF308" i="22" s="1"/>
  <c r="AT308" i="22"/>
  <c r="BE308" i="22" s="1"/>
  <c r="AS308" i="22"/>
  <c r="BD308" i="22" s="1"/>
  <c r="AR308" i="22"/>
  <c r="BC308" i="22" s="1"/>
  <c r="AQ308" i="22"/>
  <c r="BB308" i="22" s="1"/>
  <c r="AP308" i="22"/>
  <c r="BA308" i="22" s="1"/>
  <c r="AO308" i="22"/>
  <c r="AZ308" i="22" s="1"/>
  <c r="AW307" i="22"/>
  <c r="BH307" i="22" s="1"/>
  <c r="AV307" i="22"/>
  <c r="BG307" i="22" s="1"/>
  <c r="AU307" i="22"/>
  <c r="BF307" i="22" s="1"/>
  <c r="AT307" i="22"/>
  <c r="BE307" i="22" s="1"/>
  <c r="AS307" i="22"/>
  <c r="BD307" i="22" s="1"/>
  <c r="AR307" i="22"/>
  <c r="BC307" i="22" s="1"/>
  <c r="AQ307" i="22"/>
  <c r="BB307" i="22" s="1"/>
  <c r="AP307" i="22"/>
  <c r="BA307" i="22" s="1"/>
  <c r="AO307" i="22"/>
  <c r="AZ307" i="22" s="1"/>
  <c r="AW306" i="22"/>
  <c r="BH306" i="22" s="1"/>
  <c r="AV306" i="22"/>
  <c r="BG306" i="22" s="1"/>
  <c r="AU306" i="22"/>
  <c r="BF306" i="22" s="1"/>
  <c r="AT306" i="22"/>
  <c r="BE306" i="22" s="1"/>
  <c r="AS306" i="22"/>
  <c r="BD306" i="22" s="1"/>
  <c r="AR306" i="22"/>
  <c r="BC306" i="22" s="1"/>
  <c r="AQ306" i="22"/>
  <c r="BB306" i="22" s="1"/>
  <c r="AP306" i="22"/>
  <c r="BA306" i="22" s="1"/>
  <c r="AO306" i="22"/>
  <c r="AZ306" i="22" s="1"/>
  <c r="AW305" i="22"/>
  <c r="BH305" i="22" s="1"/>
  <c r="AV305" i="22"/>
  <c r="BG305" i="22" s="1"/>
  <c r="AU305" i="22"/>
  <c r="BF305" i="22" s="1"/>
  <c r="AT305" i="22"/>
  <c r="BE305" i="22" s="1"/>
  <c r="AS305" i="22"/>
  <c r="BD305" i="22" s="1"/>
  <c r="AR305" i="22"/>
  <c r="BC305" i="22" s="1"/>
  <c r="AQ305" i="22"/>
  <c r="BB305" i="22" s="1"/>
  <c r="AP305" i="22"/>
  <c r="BA305" i="22" s="1"/>
  <c r="AO305" i="22"/>
  <c r="AZ305" i="22" s="1"/>
  <c r="AW304" i="22"/>
  <c r="BH304" i="22" s="1"/>
  <c r="AV304" i="22"/>
  <c r="BG304" i="22" s="1"/>
  <c r="AU304" i="22"/>
  <c r="BF304" i="22" s="1"/>
  <c r="AT304" i="22"/>
  <c r="BE304" i="22" s="1"/>
  <c r="AS304" i="22"/>
  <c r="BD304" i="22" s="1"/>
  <c r="AR304" i="22"/>
  <c r="BC304" i="22" s="1"/>
  <c r="AQ304" i="22"/>
  <c r="BB304" i="22" s="1"/>
  <c r="AP304" i="22"/>
  <c r="BA304" i="22" s="1"/>
  <c r="AO304" i="22"/>
  <c r="AZ304" i="22" s="1"/>
  <c r="AW303" i="22"/>
  <c r="BH303" i="22" s="1"/>
  <c r="AV303" i="22"/>
  <c r="BG303" i="22" s="1"/>
  <c r="AU303" i="22"/>
  <c r="BF303" i="22" s="1"/>
  <c r="AT303" i="22"/>
  <c r="BE303" i="22" s="1"/>
  <c r="AS303" i="22"/>
  <c r="BD303" i="22" s="1"/>
  <c r="AR303" i="22"/>
  <c r="BC303" i="22" s="1"/>
  <c r="AQ303" i="22"/>
  <c r="BB303" i="22" s="1"/>
  <c r="AP303" i="22"/>
  <c r="BA303" i="22" s="1"/>
  <c r="AO303" i="22"/>
  <c r="AZ303" i="22" s="1"/>
  <c r="AW302" i="22"/>
  <c r="BH302" i="22" s="1"/>
  <c r="AV302" i="22"/>
  <c r="BG302" i="22" s="1"/>
  <c r="AU302" i="22"/>
  <c r="BF302" i="22" s="1"/>
  <c r="AT302" i="22"/>
  <c r="BE302" i="22" s="1"/>
  <c r="AS302" i="22"/>
  <c r="BD302" i="22" s="1"/>
  <c r="AR302" i="22"/>
  <c r="BC302" i="22" s="1"/>
  <c r="AQ302" i="22"/>
  <c r="BB302" i="22" s="1"/>
  <c r="AP302" i="22"/>
  <c r="BA302" i="22" s="1"/>
  <c r="AO302" i="22"/>
  <c r="AZ302" i="22" s="1"/>
  <c r="AW301" i="22"/>
  <c r="BH301" i="22" s="1"/>
  <c r="AV301" i="22"/>
  <c r="BG301" i="22" s="1"/>
  <c r="AU301" i="22"/>
  <c r="BF301" i="22" s="1"/>
  <c r="AT301" i="22"/>
  <c r="BE301" i="22" s="1"/>
  <c r="AS301" i="22"/>
  <c r="BD301" i="22" s="1"/>
  <c r="AR301" i="22"/>
  <c r="BC301" i="22" s="1"/>
  <c r="AQ301" i="22"/>
  <c r="BB301" i="22" s="1"/>
  <c r="AP301" i="22"/>
  <c r="BA301" i="22" s="1"/>
  <c r="AO301" i="22"/>
  <c r="AZ301" i="22" s="1"/>
  <c r="AW300" i="22"/>
  <c r="BH300" i="22" s="1"/>
  <c r="AV300" i="22"/>
  <c r="BG300" i="22" s="1"/>
  <c r="AU300" i="22"/>
  <c r="BF300" i="22" s="1"/>
  <c r="AT300" i="22"/>
  <c r="BE300" i="22" s="1"/>
  <c r="AS300" i="22"/>
  <c r="BD300" i="22" s="1"/>
  <c r="AR300" i="22"/>
  <c r="BC300" i="22" s="1"/>
  <c r="AQ300" i="22"/>
  <c r="BB300" i="22" s="1"/>
  <c r="AP300" i="22"/>
  <c r="BA300" i="22" s="1"/>
  <c r="AO300" i="22"/>
  <c r="AZ300" i="22" s="1"/>
  <c r="AW299" i="22"/>
  <c r="BH299" i="22" s="1"/>
  <c r="AV299" i="22"/>
  <c r="BG299" i="22" s="1"/>
  <c r="AU299" i="22"/>
  <c r="BF299" i="22" s="1"/>
  <c r="AT299" i="22"/>
  <c r="BE299" i="22" s="1"/>
  <c r="AS299" i="22"/>
  <c r="BD299" i="22" s="1"/>
  <c r="AR299" i="22"/>
  <c r="BC299" i="22" s="1"/>
  <c r="AQ299" i="22"/>
  <c r="BB299" i="22" s="1"/>
  <c r="AP299" i="22"/>
  <c r="BA299" i="22" s="1"/>
  <c r="AO299" i="22"/>
  <c r="AZ299" i="22" s="1"/>
  <c r="AW298" i="22"/>
  <c r="BH298" i="22" s="1"/>
  <c r="AV298" i="22"/>
  <c r="BG298" i="22" s="1"/>
  <c r="AU298" i="22"/>
  <c r="BF298" i="22" s="1"/>
  <c r="AT298" i="22"/>
  <c r="BE298" i="22" s="1"/>
  <c r="AS298" i="22"/>
  <c r="BD298" i="22" s="1"/>
  <c r="AR298" i="22"/>
  <c r="BC298" i="22" s="1"/>
  <c r="AQ298" i="22"/>
  <c r="BB298" i="22" s="1"/>
  <c r="AP298" i="22"/>
  <c r="BA298" i="22" s="1"/>
  <c r="AO298" i="22"/>
  <c r="AZ298" i="22" s="1"/>
  <c r="AW297" i="22"/>
  <c r="BH297" i="22" s="1"/>
  <c r="AV297" i="22"/>
  <c r="BG297" i="22" s="1"/>
  <c r="AU297" i="22"/>
  <c r="BF297" i="22" s="1"/>
  <c r="AT297" i="22"/>
  <c r="BE297" i="22" s="1"/>
  <c r="AS297" i="22"/>
  <c r="BD297" i="22" s="1"/>
  <c r="AR297" i="22"/>
  <c r="BC297" i="22" s="1"/>
  <c r="AQ297" i="22"/>
  <c r="BB297" i="22" s="1"/>
  <c r="AP297" i="22"/>
  <c r="BA297" i="22" s="1"/>
  <c r="AO297" i="22"/>
  <c r="AZ297" i="22" s="1"/>
  <c r="AW296" i="22"/>
  <c r="BH296" i="22" s="1"/>
  <c r="AV296" i="22"/>
  <c r="BG296" i="22" s="1"/>
  <c r="AU296" i="22"/>
  <c r="BF296" i="22" s="1"/>
  <c r="AT296" i="22"/>
  <c r="BE296" i="22" s="1"/>
  <c r="AS296" i="22"/>
  <c r="BD296" i="22" s="1"/>
  <c r="AR296" i="22"/>
  <c r="BC296" i="22" s="1"/>
  <c r="AQ296" i="22"/>
  <c r="BB296" i="22" s="1"/>
  <c r="AP296" i="22"/>
  <c r="BA296" i="22" s="1"/>
  <c r="AO296" i="22"/>
  <c r="AZ296" i="22" s="1"/>
  <c r="AW295" i="22"/>
  <c r="BH295" i="22" s="1"/>
  <c r="AV295" i="22"/>
  <c r="BG295" i="22" s="1"/>
  <c r="AU295" i="22"/>
  <c r="BF295" i="22" s="1"/>
  <c r="AT295" i="22"/>
  <c r="BE295" i="22" s="1"/>
  <c r="AS295" i="22"/>
  <c r="BD295" i="22" s="1"/>
  <c r="AR295" i="22"/>
  <c r="BC295" i="22" s="1"/>
  <c r="AQ295" i="22"/>
  <c r="BB295" i="22" s="1"/>
  <c r="AP295" i="22"/>
  <c r="BA295" i="22" s="1"/>
  <c r="AO295" i="22"/>
  <c r="AZ295" i="22" s="1"/>
  <c r="AW294" i="22"/>
  <c r="BH294" i="22" s="1"/>
  <c r="AV294" i="22"/>
  <c r="BG294" i="22" s="1"/>
  <c r="AU294" i="22"/>
  <c r="BF294" i="22" s="1"/>
  <c r="AT294" i="22"/>
  <c r="BE294" i="22" s="1"/>
  <c r="AS294" i="22"/>
  <c r="BD294" i="22" s="1"/>
  <c r="AR294" i="22"/>
  <c r="BC294" i="22" s="1"/>
  <c r="AQ294" i="22"/>
  <c r="BB294" i="22" s="1"/>
  <c r="AP294" i="22"/>
  <c r="BA294" i="22" s="1"/>
  <c r="AO294" i="22"/>
  <c r="AZ294" i="22" s="1"/>
  <c r="AW293" i="22"/>
  <c r="BH293" i="22" s="1"/>
  <c r="AV293" i="22"/>
  <c r="BG293" i="22" s="1"/>
  <c r="AU293" i="22"/>
  <c r="BF293" i="22" s="1"/>
  <c r="AT293" i="22"/>
  <c r="BE293" i="22" s="1"/>
  <c r="AS293" i="22"/>
  <c r="BD293" i="22" s="1"/>
  <c r="AR293" i="22"/>
  <c r="BC293" i="22" s="1"/>
  <c r="AQ293" i="22"/>
  <c r="BB293" i="22" s="1"/>
  <c r="AP293" i="22"/>
  <c r="BA293" i="22" s="1"/>
  <c r="AO293" i="22"/>
  <c r="AZ293" i="22" s="1"/>
  <c r="AW292" i="22"/>
  <c r="BH292" i="22" s="1"/>
  <c r="AV292" i="22"/>
  <c r="BG292" i="22" s="1"/>
  <c r="AU292" i="22"/>
  <c r="BF292" i="22" s="1"/>
  <c r="AT292" i="22"/>
  <c r="BE292" i="22" s="1"/>
  <c r="AS292" i="22"/>
  <c r="BD292" i="22" s="1"/>
  <c r="AR292" i="22"/>
  <c r="BC292" i="22" s="1"/>
  <c r="AQ292" i="22"/>
  <c r="BB292" i="22" s="1"/>
  <c r="AP292" i="22"/>
  <c r="BA292" i="22" s="1"/>
  <c r="AO292" i="22"/>
  <c r="AZ292" i="22" s="1"/>
  <c r="AW291" i="22"/>
  <c r="BH291" i="22" s="1"/>
  <c r="AV291" i="22"/>
  <c r="BG291" i="22" s="1"/>
  <c r="AU291" i="22"/>
  <c r="BF291" i="22" s="1"/>
  <c r="AT291" i="22"/>
  <c r="BE291" i="22" s="1"/>
  <c r="AS291" i="22"/>
  <c r="BD291" i="22" s="1"/>
  <c r="AR291" i="22"/>
  <c r="BC291" i="22" s="1"/>
  <c r="AQ291" i="22"/>
  <c r="BB291" i="22" s="1"/>
  <c r="AP291" i="22"/>
  <c r="BA291" i="22" s="1"/>
  <c r="AO291" i="22"/>
  <c r="AZ291" i="22" s="1"/>
  <c r="AW290" i="22"/>
  <c r="BH290" i="22" s="1"/>
  <c r="AV290" i="22"/>
  <c r="BG290" i="22" s="1"/>
  <c r="AU290" i="22"/>
  <c r="BF290" i="22" s="1"/>
  <c r="AT290" i="22"/>
  <c r="BE290" i="22" s="1"/>
  <c r="AS290" i="22"/>
  <c r="BD290" i="22" s="1"/>
  <c r="AR290" i="22"/>
  <c r="BC290" i="22" s="1"/>
  <c r="AQ290" i="22"/>
  <c r="BB290" i="22" s="1"/>
  <c r="AP290" i="22"/>
  <c r="BA290" i="22" s="1"/>
  <c r="AO290" i="22"/>
  <c r="AZ290" i="22" s="1"/>
  <c r="AW289" i="22"/>
  <c r="BH289" i="22" s="1"/>
  <c r="AV289" i="22"/>
  <c r="BG289" i="22" s="1"/>
  <c r="AU289" i="22"/>
  <c r="BF289" i="22" s="1"/>
  <c r="AT289" i="22"/>
  <c r="BE289" i="22" s="1"/>
  <c r="AS289" i="22"/>
  <c r="BD289" i="22" s="1"/>
  <c r="AR289" i="22"/>
  <c r="BC289" i="22" s="1"/>
  <c r="AQ289" i="22"/>
  <c r="BB289" i="22" s="1"/>
  <c r="AP289" i="22"/>
  <c r="BA289" i="22" s="1"/>
  <c r="AO289" i="22"/>
  <c r="AZ289" i="22" s="1"/>
  <c r="AW288" i="22"/>
  <c r="BH288" i="22" s="1"/>
  <c r="AV288" i="22"/>
  <c r="BG288" i="22" s="1"/>
  <c r="AU288" i="22"/>
  <c r="BF288" i="22" s="1"/>
  <c r="AT288" i="22"/>
  <c r="BE288" i="22" s="1"/>
  <c r="AS288" i="22"/>
  <c r="BD288" i="22" s="1"/>
  <c r="AR288" i="22"/>
  <c r="BC288" i="22" s="1"/>
  <c r="AQ288" i="22"/>
  <c r="BB288" i="22" s="1"/>
  <c r="AP288" i="22"/>
  <c r="BA288" i="22" s="1"/>
  <c r="AO288" i="22"/>
  <c r="AZ288" i="22" s="1"/>
  <c r="AW287" i="22"/>
  <c r="BH287" i="22" s="1"/>
  <c r="AV287" i="22"/>
  <c r="BG287" i="22" s="1"/>
  <c r="AU287" i="22"/>
  <c r="BF287" i="22" s="1"/>
  <c r="AT287" i="22"/>
  <c r="BE287" i="22" s="1"/>
  <c r="AS287" i="22"/>
  <c r="BD287" i="22" s="1"/>
  <c r="AR287" i="22"/>
  <c r="BC287" i="22" s="1"/>
  <c r="AQ287" i="22"/>
  <c r="BB287" i="22" s="1"/>
  <c r="AP287" i="22"/>
  <c r="BA287" i="22" s="1"/>
  <c r="AO287" i="22"/>
  <c r="AZ287" i="22" s="1"/>
  <c r="AW286" i="22"/>
  <c r="BH286" i="22" s="1"/>
  <c r="AV286" i="22"/>
  <c r="BG286" i="22" s="1"/>
  <c r="AU286" i="22"/>
  <c r="BF286" i="22" s="1"/>
  <c r="AT286" i="22"/>
  <c r="BE286" i="22" s="1"/>
  <c r="AS286" i="22"/>
  <c r="BD286" i="22" s="1"/>
  <c r="AR286" i="22"/>
  <c r="BC286" i="22" s="1"/>
  <c r="AQ286" i="22"/>
  <c r="BB286" i="22" s="1"/>
  <c r="AP286" i="22"/>
  <c r="BA286" i="22" s="1"/>
  <c r="AO286" i="22"/>
  <c r="AZ286" i="22" s="1"/>
  <c r="AW285" i="22"/>
  <c r="BH285" i="22" s="1"/>
  <c r="AV285" i="22"/>
  <c r="BG285" i="22" s="1"/>
  <c r="AU285" i="22"/>
  <c r="BF285" i="22" s="1"/>
  <c r="AT285" i="22"/>
  <c r="BE285" i="22" s="1"/>
  <c r="AS285" i="22"/>
  <c r="BD285" i="22" s="1"/>
  <c r="AR285" i="22"/>
  <c r="BC285" i="22" s="1"/>
  <c r="AQ285" i="22"/>
  <c r="BB285" i="22" s="1"/>
  <c r="AP285" i="22"/>
  <c r="BA285" i="22" s="1"/>
  <c r="AO285" i="22"/>
  <c r="AZ285" i="22" s="1"/>
  <c r="AW284" i="22"/>
  <c r="BH284" i="22" s="1"/>
  <c r="AV284" i="22"/>
  <c r="BG284" i="22" s="1"/>
  <c r="AU284" i="22"/>
  <c r="BF284" i="22" s="1"/>
  <c r="AT284" i="22"/>
  <c r="BE284" i="22" s="1"/>
  <c r="AS284" i="22"/>
  <c r="BD284" i="22" s="1"/>
  <c r="AR284" i="22"/>
  <c r="BC284" i="22" s="1"/>
  <c r="AQ284" i="22"/>
  <c r="BB284" i="22" s="1"/>
  <c r="AP284" i="22"/>
  <c r="BA284" i="22" s="1"/>
  <c r="AO284" i="22"/>
  <c r="AZ284" i="22" s="1"/>
  <c r="AW283" i="22"/>
  <c r="BH283" i="22" s="1"/>
  <c r="AV283" i="22"/>
  <c r="BG283" i="22" s="1"/>
  <c r="AU283" i="22"/>
  <c r="BF283" i="22" s="1"/>
  <c r="AT283" i="22"/>
  <c r="BE283" i="22" s="1"/>
  <c r="AS283" i="22"/>
  <c r="BD283" i="22" s="1"/>
  <c r="AR283" i="22"/>
  <c r="BC283" i="22" s="1"/>
  <c r="AQ283" i="22"/>
  <c r="BB283" i="22" s="1"/>
  <c r="AP283" i="22"/>
  <c r="BA283" i="22" s="1"/>
  <c r="AO283" i="22"/>
  <c r="AZ283" i="22" s="1"/>
  <c r="AW282" i="22"/>
  <c r="BH282" i="22" s="1"/>
  <c r="AV282" i="22"/>
  <c r="BG282" i="22" s="1"/>
  <c r="AU282" i="22"/>
  <c r="BF282" i="22" s="1"/>
  <c r="AT282" i="22"/>
  <c r="BE282" i="22" s="1"/>
  <c r="AS282" i="22"/>
  <c r="BD282" i="22" s="1"/>
  <c r="AR282" i="22"/>
  <c r="BC282" i="22" s="1"/>
  <c r="AQ282" i="22"/>
  <c r="BB282" i="22" s="1"/>
  <c r="AP282" i="22"/>
  <c r="BA282" i="22" s="1"/>
  <c r="AO282" i="22"/>
  <c r="AZ282" i="22" s="1"/>
  <c r="AW281" i="22"/>
  <c r="BH281" i="22" s="1"/>
  <c r="AV281" i="22"/>
  <c r="BG281" i="22" s="1"/>
  <c r="AU281" i="22"/>
  <c r="BF281" i="22" s="1"/>
  <c r="AT281" i="22"/>
  <c r="BE281" i="22" s="1"/>
  <c r="AS281" i="22"/>
  <c r="BD281" i="22" s="1"/>
  <c r="AR281" i="22"/>
  <c r="BC281" i="22" s="1"/>
  <c r="AQ281" i="22"/>
  <c r="BB281" i="22" s="1"/>
  <c r="AP281" i="22"/>
  <c r="BA281" i="22" s="1"/>
  <c r="AO281" i="22"/>
  <c r="AZ281" i="22" s="1"/>
  <c r="AW280" i="22"/>
  <c r="BH280" i="22" s="1"/>
  <c r="AV280" i="22"/>
  <c r="BG280" i="22" s="1"/>
  <c r="AU280" i="22"/>
  <c r="BF280" i="22" s="1"/>
  <c r="AT280" i="22"/>
  <c r="BE280" i="22" s="1"/>
  <c r="AS280" i="22"/>
  <c r="BD280" i="22" s="1"/>
  <c r="AR280" i="22"/>
  <c r="BC280" i="22" s="1"/>
  <c r="AQ280" i="22"/>
  <c r="BB280" i="22" s="1"/>
  <c r="AP280" i="22"/>
  <c r="BA280" i="22" s="1"/>
  <c r="AO280" i="22"/>
  <c r="AZ280" i="22" s="1"/>
  <c r="AW279" i="22"/>
  <c r="BH279" i="22" s="1"/>
  <c r="AV279" i="22"/>
  <c r="BG279" i="22" s="1"/>
  <c r="AU279" i="22"/>
  <c r="BF279" i="22" s="1"/>
  <c r="AT279" i="22"/>
  <c r="BE279" i="22" s="1"/>
  <c r="AS279" i="22"/>
  <c r="BD279" i="22" s="1"/>
  <c r="AR279" i="22"/>
  <c r="BC279" i="22" s="1"/>
  <c r="AQ279" i="22"/>
  <c r="BB279" i="22" s="1"/>
  <c r="AP279" i="22"/>
  <c r="BA279" i="22" s="1"/>
  <c r="AO279" i="22"/>
  <c r="AZ279" i="22" s="1"/>
  <c r="AW278" i="22"/>
  <c r="BH278" i="22" s="1"/>
  <c r="AV278" i="22"/>
  <c r="BG278" i="22" s="1"/>
  <c r="AU278" i="22"/>
  <c r="BF278" i="22" s="1"/>
  <c r="AT278" i="22"/>
  <c r="BE278" i="22" s="1"/>
  <c r="AS278" i="22"/>
  <c r="BD278" i="22" s="1"/>
  <c r="AR278" i="22"/>
  <c r="BC278" i="22" s="1"/>
  <c r="AQ278" i="22"/>
  <c r="BB278" i="22" s="1"/>
  <c r="AP278" i="22"/>
  <c r="BA278" i="22" s="1"/>
  <c r="AO278" i="22"/>
  <c r="AZ278" i="22" s="1"/>
  <c r="AW277" i="22"/>
  <c r="BH277" i="22" s="1"/>
  <c r="AV277" i="22"/>
  <c r="BG277" i="22" s="1"/>
  <c r="AU277" i="22"/>
  <c r="BF277" i="22" s="1"/>
  <c r="AT277" i="22"/>
  <c r="BE277" i="22" s="1"/>
  <c r="AS277" i="22"/>
  <c r="BD277" i="22" s="1"/>
  <c r="AR277" i="22"/>
  <c r="BC277" i="22" s="1"/>
  <c r="AQ277" i="22"/>
  <c r="BB277" i="22" s="1"/>
  <c r="AP277" i="22"/>
  <c r="BA277" i="22" s="1"/>
  <c r="AO277" i="22"/>
  <c r="AZ277" i="22" s="1"/>
  <c r="AW275" i="22"/>
  <c r="BH275" i="22" s="1"/>
  <c r="AV275" i="22"/>
  <c r="BG275" i="22" s="1"/>
  <c r="AU275" i="22"/>
  <c r="BF275" i="22" s="1"/>
  <c r="AT275" i="22"/>
  <c r="BE275" i="22" s="1"/>
  <c r="AS275" i="22"/>
  <c r="BD275" i="22" s="1"/>
  <c r="AR275" i="22"/>
  <c r="BC275" i="22" s="1"/>
  <c r="AQ275" i="22"/>
  <c r="BB275" i="22" s="1"/>
  <c r="AP275" i="22"/>
  <c r="BA275" i="22" s="1"/>
  <c r="AO275" i="22"/>
  <c r="AZ275" i="22" s="1"/>
  <c r="AW274" i="22"/>
  <c r="BH274" i="22" s="1"/>
  <c r="AV274" i="22"/>
  <c r="BG274" i="22" s="1"/>
  <c r="AU274" i="22"/>
  <c r="BF274" i="22" s="1"/>
  <c r="AT274" i="22"/>
  <c r="BE274" i="22" s="1"/>
  <c r="AS274" i="22"/>
  <c r="BD274" i="22" s="1"/>
  <c r="AR274" i="22"/>
  <c r="BC274" i="22" s="1"/>
  <c r="AQ274" i="22"/>
  <c r="BB274" i="22" s="1"/>
  <c r="AP274" i="22"/>
  <c r="BA274" i="22" s="1"/>
  <c r="AO274" i="22"/>
  <c r="AZ274" i="22" s="1"/>
  <c r="AW273" i="22"/>
  <c r="BH273" i="22" s="1"/>
  <c r="AV273" i="22"/>
  <c r="BG273" i="22" s="1"/>
  <c r="AU273" i="22"/>
  <c r="BF273" i="22" s="1"/>
  <c r="AT273" i="22"/>
  <c r="BE273" i="22" s="1"/>
  <c r="AS273" i="22"/>
  <c r="BD273" i="22" s="1"/>
  <c r="AR273" i="22"/>
  <c r="BC273" i="22" s="1"/>
  <c r="AQ273" i="22"/>
  <c r="BB273" i="22" s="1"/>
  <c r="AP273" i="22"/>
  <c r="BA273" i="22" s="1"/>
  <c r="AO273" i="22"/>
  <c r="AZ273" i="22" s="1"/>
  <c r="AW272" i="22"/>
  <c r="BH272" i="22" s="1"/>
  <c r="AV272" i="22"/>
  <c r="BG272" i="22" s="1"/>
  <c r="AU272" i="22"/>
  <c r="BF272" i="22" s="1"/>
  <c r="AT272" i="22"/>
  <c r="BE272" i="22" s="1"/>
  <c r="AS272" i="22"/>
  <c r="BD272" i="22" s="1"/>
  <c r="AR272" i="22"/>
  <c r="BC272" i="22" s="1"/>
  <c r="AQ272" i="22"/>
  <c r="BB272" i="22" s="1"/>
  <c r="AP272" i="22"/>
  <c r="BA272" i="22" s="1"/>
  <c r="AO272" i="22"/>
  <c r="AZ272" i="22" s="1"/>
  <c r="AW271" i="22"/>
  <c r="BH271" i="22" s="1"/>
  <c r="AV271" i="22"/>
  <c r="BG271" i="22" s="1"/>
  <c r="AU271" i="22"/>
  <c r="BF271" i="22" s="1"/>
  <c r="AT271" i="22"/>
  <c r="BE271" i="22" s="1"/>
  <c r="AS271" i="22"/>
  <c r="BD271" i="22" s="1"/>
  <c r="AR271" i="22"/>
  <c r="BC271" i="22" s="1"/>
  <c r="AQ271" i="22"/>
  <c r="BB271" i="22" s="1"/>
  <c r="AP271" i="22"/>
  <c r="BA271" i="22" s="1"/>
  <c r="AO271" i="22"/>
  <c r="AZ271" i="22" s="1"/>
  <c r="AW270" i="22"/>
  <c r="BH270" i="22" s="1"/>
  <c r="AV270" i="22"/>
  <c r="BG270" i="22" s="1"/>
  <c r="AU270" i="22"/>
  <c r="BF270" i="22" s="1"/>
  <c r="AT270" i="22"/>
  <c r="BE270" i="22" s="1"/>
  <c r="AS270" i="22"/>
  <c r="BD270" i="22" s="1"/>
  <c r="AR270" i="22"/>
  <c r="BC270" i="22" s="1"/>
  <c r="AQ270" i="22"/>
  <c r="BB270" i="22" s="1"/>
  <c r="AP270" i="22"/>
  <c r="BA270" i="22" s="1"/>
  <c r="AO270" i="22"/>
  <c r="AZ270" i="22" s="1"/>
  <c r="AW269" i="22"/>
  <c r="BH269" i="22" s="1"/>
  <c r="AV269" i="22"/>
  <c r="BG269" i="22" s="1"/>
  <c r="AU269" i="22"/>
  <c r="BF269" i="22" s="1"/>
  <c r="AT269" i="22"/>
  <c r="BE269" i="22" s="1"/>
  <c r="AS269" i="22"/>
  <c r="BD269" i="22" s="1"/>
  <c r="AR269" i="22"/>
  <c r="BC269" i="22" s="1"/>
  <c r="AQ269" i="22"/>
  <c r="BB269" i="22" s="1"/>
  <c r="AP269" i="22"/>
  <c r="BA269" i="22" s="1"/>
  <c r="AO269" i="22"/>
  <c r="AZ269" i="22" s="1"/>
  <c r="AW268" i="22"/>
  <c r="BH268" i="22" s="1"/>
  <c r="AV268" i="22"/>
  <c r="BG268" i="22" s="1"/>
  <c r="AU268" i="22"/>
  <c r="BF268" i="22" s="1"/>
  <c r="AT268" i="22"/>
  <c r="BE268" i="22" s="1"/>
  <c r="AS268" i="22"/>
  <c r="BD268" i="22" s="1"/>
  <c r="AR268" i="22"/>
  <c r="BC268" i="22" s="1"/>
  <c r="AQ268" i="22"/>
  <c r="BB268" i="22" s="1"/>
  <c r="AP268" i="22"/>
  <c r="BA268" i="22" s="1"/>
  <c r="AO268" i="22"/>
  <c r="AZ268" i="22" s="1"/>
  <c r="AW267" i="22"/>
  <c r="BH267" i="22" s="1"/>
  <c r="AV267" i="22"/>
  <c r="BG267" i="22" s="1"/>
  <c r="AU267" i="22"/>
  <c r="BF267" i="22" s="1"/>
  <c r="AT267" i="22"/>
  <c r="BE267" i="22" s="1"/>
  <c r="AS267" i="22"/>
  <c r="BD267" i="22" s="1"/>
  <c r="AR267" i="22"/>
  <c r="BC267" i="22" s="1"/>
  <c r="AQ267" i="22"/>
  <c r="BB267" i="22" s="1"/>
  <c r="AP267" i="22"/>
  <c r="BA267" i="22" s="1"/>
  <c r="AO267" i="22"/>
  <c r="AZ267" i="22" s="1"/>
  <c r="AW266" i="22"/>
  <c r="BH266" i="22" s="1"/>
  <c r="AV266" i="22"/>
  <c r="BG266" i="22" s="1"/>
  <c r="AU266" i="22"/>
  <c r="BF266" i="22" s="1"/>
  <c r="AT266" i="22"/>
  <c r="BE266" i="22" s="1"/>
  <c r="AS266" i="22"/>
  <c r="BD266" i="22" s="1"/>
  <c r="AR266" i="22"/>
  <c r="BC266" i="22" s="1"/>
  <c r="AQ266" i="22"/>
  <c r="BB266" i="22" s="1"/>
  <c r="AP266" i="22"/>
  <c r="BA266" i="22" s="1"/>
  <c r="AO266" i="22"/>
  <c r="AZ266" i="22" s="1"/>
  <c r="AW265" i="22"/>
  <c r="BH265" i="22" s="1"/>
  <c r="AV265" i="22"/>
  <c r="BG265" i="22" s="1"/>
  <c r="AU265" i="22"/>
  <c r="BF265" i="22" s="1"/>
  <c r="AT265" i="22"/>
  <c r="BE265" i="22" s="1"/>
  <c r="AS265" i="22"/>
  <c r="BD265" i="22" s="1"/>
  <c r="AR265" i="22"/>
  <c r="BC265" i="22" s="1"/>
  <c r="AQ265" i="22"/>
  <c r="BB265" i="22" s="1"/>
  <c r="AP265" i="22"/>
  <c r="BA265" i="22" s="1"/>
  <c r="AO265" i="22"/>
  <c r="AZ265" i="22" s="1"/>
  <c r="AW264" i="22"/>
  <c r="BH264" i="22" s="1"/>
  <c r="AV264" i="22"/>
  <c r="BG264" i="22" s="1"/>
  <c r="AU264" i="22"/>
  <c r="BF264" i="22" s="1"/>
  <c r="AT264" i="22"/>
  <c r="BE264" i="22" s="1"/>
  <c r="AS264" i="22"/>
  <c r="BD264" i="22" s="1"/>
  <c r="AR264" i="22"/>
  <c r="BC264" i="22" s="1"/>
  <c r="AQ264" i="22"/>
  <c r="BB264" i="22" s="1"/>
  <c r="AP264" i="22"/>
  <c r="BA264" i="22" s="1"/>
  <c r="AO264" i="22"/>
  <c r="AZ264" i="22" s="1"/>
  <c r="AW263" i="22"/>
  <c r="BH263" i="22" s="1"/>
  <c r="AV263" i="22"/>
  <c r="BG263" i="22" s="1"/>
  <c r="AU263" i="22"/>
  <c r="BF263" i="22" s="1"/>
  <c r="AT263" i="22"/>
  <c r="BE263" i="22" s="1"/>
  <c r="AS263" i="22"/>
  <c r="BD263" i="22" s="1"/>
  <c r="AR263" i="22"/>
  <c r="BC263" i="22" s="1"/>
  <c r="AQ263" i="22"/>
  <c r="BB263" i="22" s="1"/>
  <c r="AP263" i="22"/>
  <c r="BA263" i="22" s="1"/>
  <c r="AO263" i="22"/>
  <c r="AZ263" i="22" s="1"/>
  <c r="AW262" i="22"/>
  <c r="BH262" i="22" s="1"/>
  <c r="AV262" i="22"/>
  <c r="BG262" i="22" s="1"/>
  <c r="AU262" i="22"/>
  <c r="BF262" i="22" s="1"/>
  <c r="AT262" i="22"/>
  <c r="BE262" i="22" s="1"/>
  <c r="AS262" i="22"/>
  <c r="BD262" i="22" s="1"/>
  <c r="AR262" i="22"/>
  <c r="BC262" i="22" s="1"/>
  <c r="AQ262" i="22"/>
  <c r="BB262" i="22" s="1"/>
  <c r="AP262" i="22"/>
  <c r="BA262" i="22" s="1"/>
  <c r="AO262" i="22"/>
  <c r="AZ262" i="22" s="1"/>
  <c r="AW261" i="22"/>
  <c r="BH261" i="22" s="1"/>
  <c r="AV261" i="22"/>
  <c r="BG261" i="22" s="1"/>
  <c r="AU261" i="22"/>
  <c r="BF261" i="22" s="1"/>
  <c r="AT261" i="22"/>
  <c r="BE261" i="22" s="1"/>
  <c r="AS261" i="22"/>
  <c r="BD261" i="22" s="1"/>
  <c r="AR261" i="22"/>
  <c r="BC261" i="22" s="1"/>
  <c r="AQ261" i="22"/>
  <c r="BB261" i="22" s="1"/>
  <c r="AP261" i="22"/>
  <c r="BA261" i="22" s="1"/>
  <c r="AO261" i="22"/>
  <c r="AZ261" i="22" s="1"/>
  <c r="AW260" i="22"/>
  <c r="BH260" i="22" s="1"/>
  <c r="AV260" i="22"/>
  <c r="BG260" i="22" s="1"/>
  <c r="AU260" i="22"/>
  <c r="BF260" i="22" s="1"/>
  <c r="AT260" i="22"/>
  <c r="BE260" i="22" s="1"/>
  <c r="AS260" i="22"/>
  <c r="BD260" i="22" s="1"/>
  <c r="AR260" i="22"/>
  <c r="BC260" i="22" s="1"/>
  <c r="AQ260" i="22"/>
  <c r="BB260" i="22" s="1"/>
  <c r="AP260" i="22"/>
  <c r="BA260" i="22" s="1"/>
  <c r="AO260" i="22"/>
  <c r="AZ260" i="22" s="1"/>
  <c r="AW259" i="22"/>
  <c r="BH259" i="22" s="1"/>
  <c r="AV259" i="22"/>
  <c r="BG259" i="22" s="1"/>
  <c r="AU259" i="22"/>
  <c r="BF259" i="22" s="1"/>
  <c r="AT259" i="22"/>
  <c r="BE259" i="22" s="1"/>
  <c r="AS259" i="22"/>
  <c r="BD259" i="22" s="1"/>
  <c r="AR259" i="22"/>
  <c r="BC259" i="22" s="1"/>
  <c r="AQ259" i="22"/>
  <c r="BB259" i="22" s="1"/>
  <c r="AP259" i="22"/>
  <c r="BA259" i="22" s="1"/>
  <c r="AO259" i="22"/>
  <c r="AZ259" i="22" s="1"/>
  <c r="AW258" i="22"/>
  <c r="BH258" i="22" s="1"/>
  <c r="AV258" i="22"/>
  <c r="BG258" i="22" s="1"/>
  <c r="AU258" i="22"/>
  <c r="BF258" i="22" s="1"/>
  <c r="AT258" i="22"/>
  <c r="BE258" i="22" s="1"/>
  <c r="AS258" i="22"/>
  <c r="BD258" i="22" s="1"/>
  <c r="AR258" i="22"/>
  <c r="BC258" i="22" s="1"/>
  <c r="AQ258" i="22"/>
  <c r="BB258" i="22" s="1"/>
  <c r="AP258" i="22"/>
  <c r="BA258" i="22" s="1"/>
  <c r="AO258" i="22"/>
  <c r="AZ258" i="22" s="1"/>
  <c r="AW257" i="22"/>
  <c r="BH257" i="22" s="1"/>
  <c r="AV257" i="22"/>
  <c r="BG257" i="22" s="1"/>
  <c r="AU257" i="22"/>
  <c r="BF257" i="22" s="1"/>
  <c r="AT257" i="22"/>
  <c r="BE257" i="22" s="1"/>
  <c r="AS257" i="22"/>
  <c r="BD257" i="22" s="1"/>
  <c r="AR257" i="22"/>
  <c r="BC257" i="22" s="1"/>
  <c r="AQ257" i="22"/>
  <c r="BB257" i="22" s="1"/>
  <c r="AP257" i="22"/>
  <c r="BA257" i="22" s="1"/>
  <c r="AO257" i="22"/>
  <c r="AZ257" i="22" s="1"/>
  <c r="AW256" i="22"/>
  <c r="BH256" i="22" s="1"/>
  <c r="AV256" i="22"/>
  <c r="BG256" i="22" s="1"/>
  <c r="AU256" i="22"/>
  <c r="BF256" i="22" s="1"/>
  <c r="AT256" i="22"/>
  <c r="BE256" i="22" s="1"/>
  <c r="AS256" i="22"/>
  <c r="BD256" i="22" s="1"/>
  <c r="AR256" i="22"/>
  <c r="BC256" i="22" s="1"/>
  <c r="AQ256" i="22"/>
  <c r="BB256" i="22" s="1"/>
  <c r="AP256" i="22"/>
  <c r="BA256" i="22" s="1"/>
  <c r="AO256" i="22"/>
  <c r="AZ256" i="22" s="1"/>
  <c r="AW255" i="22"/>
  <c r="BH255" i="22" s="1"/>
  <c r="AV255" i="22"/>
  <c r="BG255" i="22" s="1"/>
  <c r="AU255" i="22"/>
  <c r="BF255" i="22" s="1"/>
  <c r="AT255" i="22"/>
  <c r="BE255" i="22" s="1"/>
  <c r="AS255" i="22"/>
  <c r="BD255" i="22" s="1"/>
  <c r="AR255" i="22"/>
  <c r="BC255" i="22" s="1"/>
  <c r="AQ255" i="22"/>
  <c r="BB255" i="22" s="1"/>
  <c r="AP255" i="22"/>
  <c r="BA255" i="22" s="1"/>
  <c r="AO255" i="22"/>
  <c r="AZ255" i="22" s="1"/>
  <c r="AW254" i="22"/>
  <c r="BH254" i="22" s="1"/>
  <c r="AV254" i="22"/>
  <c r="BG254" i="22" s="1"/>
  <c r="AU254" i="22"/>
  <c r="BF254" i="22" s="1"/>
  <c r="AT254" i="22"/>
  <c r="BE254" i="22" s="1"/>
  <c r="AS254" i="22"/>
  <c r="BD254" i="22" s="1"/>
  <c r="AR254" i="22"/>
  <c r="BC254" i="22" s="1"/>
  <c r="AQ254" i="22"/>
  <c r="BB254" i="22" s="1"/>
  <c r="AP254" i="22"/>
  <c r="BA254" i="22" s="1"/>
  <c r="AO254" i="22"/>
  <c r="AZ254" i="22" s="1"/>
  <c r="AW253" i="22"/>
  <c r="BH253" i="22" s="1"/>
  <c r="AV253" i="22"/>
  <c r="BG253" i="22" s="1"/>
  <c r="AU253" i="22"/>
  <c r="BF253" i="22" s="1"/>
  <c r="AT253" i="22"/>
  <c r="BE253" i="22" s="1"/>
  <c r="AS253" i="22"/>
  <c r="BD253" i="22" s="1"/>
  <c r="AR253" i="22"/>
  <c r="BC253" i="22" s="1"/>
  <c r="AQ253" i="22"/>
  <c r="BB253" i="22" s="1"/>
  <c r="AP253" i="22"/>
  <c r="BA253" i="22" s="1"/>
  <c r="AO253" i="22"/>
  <c r="AZ253" i="22" s="1"/>
  <c r="AW252" i="22"/>
  <c r="BH252" i="22" s="1"/>
  <c r="AV252" i="22"/>
  <c r="BG252" i="22" s="1"/>
  <c r="AU252" i="22"/>
  <c r="BF252" i="22" s="1"/>
  <c r="AT252" i="22"/>
  <c r="BE252" i="22" s="1"/>
  <c r="AS252" i="22"/>
  <c r="BD252" i="22" s="1"/>
  <c r="AR252" i="22"/>
  <c r="BC252" i="22" s="1"/>
  <c r="AQ252" i="22"/>
  <c r="BB252" i="22" s="1"/>
  <c r="AP252" i="22"/>
  <c r="BA252" i="22" s="1"/>
  <c r="AO252" i="22"/>
  <c r="AZ252" i="22" s="1"/>
  <c r="AW251" i="22"/>
  <c r="BH251" i="22" s="1"/>
  <c r="AV251" i="22"/>
  <c r="BG251" i="22" s="1"/>
  <c r="AU251" i="22"/>
  <c r="BF251" i="22" s="1"/>
  <c r="AT251" i="22"/>
  <c r="BE251" i="22" s="1"/>
  <c r="AS251" i="22"/>
  <c r="BD251" i="22" s="1"/>
  <c r="AR251" i="22"/>
  <c r="BC251" i="22" s="1"/>
  <c r="AQ251" i="22"/>
  <c r="BB251" i="22" s="1"/>
  <c r="AP251" i="22"/>
  <c r="BA251" i="22" s="1"/>
  <c r="AO251" i="22"/>
  <c r="AZ251" i="22" s="1"/>
  <c r="AW250" i="22"/>
  <c r="BH250" i="22" s="1"/>
  <c r="AV250" i="22"/>
  <c r="BG250" i="22" s="1"/>
  <c r="AU250" i="22"/>
  <c r="BF250" i="22" s="1"/>
  <c r="AT250" i="22"/>
  <c r="BE250" i="22" s="1"/>
  <c r="AS250" i="22"/>
  <c r="BD250" i="22" s="1"/>
  <c r="AR250" i="22"/>
  <c r="BC250" i="22" s="1"/>
  <c r="AQ250" i="22"/>
  <c r="BB250" i="22" s="1"/>
  <c r="AP250" i="22"/>
  <c r="BA250" i="22" s="1"/>
  <c r="AO250" i="22"/>
  <c r="AZ250" i="22" s="1"/>
  <c r="AW249" i="22"/>
  <c r="BH249" i="22" s="1"/>
  <c r="AV249" i="22"/>
  <c r="BG249" i="22" s="1"/>
  <c r="AU249" i="22"/>
  <c r="BF249" i="22" s="1"/>
  <c r="AT249" i="22"/>
  <c r="BE249" i="22" s="1"/>
  <c r="AS249" i="22"/>
  <c r="BD249" i="22" s="1"/>
  <c r="AR249" i="22"/>
  <c r="BC249" i="22" s="1"/>
  <c r="AQ249" i="22"/>
  <c r="BB249" i="22" s="1"/>
  <c r="AP249" i="22"/>
  <c r="BA249" i="22" s="1"/>
  <c r="AO249" i="22"/>
  <c r="AZ249" i="22" s="1"/>
  <c r="AW248" i="22"/>
  <c r="BH248" i="22" s="1"/>
  <c r="AV248" i="22"/>
  <c r="BG248" i="22" s="1"/>
  <c r="AU248" i="22"/>
  <c r="BF248" i="22" s="1"/>
  <c r="AT248" i="22"/>
  <c r="BE248" i="22" s="1"/>
  <c r="AS248" i="22"/>
  <c r="BD248" i="22" s="1"/>
  <c r="AR248" i="22"/>
  <c r="BC248" i="22" s="1"/>
  <c r="AQ248" i="22"/>
  <c r="BB248" i="22" s="1"/>
  <c r="AP248" i="22"/>
  <c r="BA248" i="22" s="1"/>
  <c r="AO248" i="22"/>
  <c r="AZ248" i="22" s="1"/>
  <c r="AW247" i="22"/>
  <c r="BH247" i="22" s="1"/>
  <c r="AV247" i="22"/>
  <c r="BG247" i="22" s="1"/>
  <c r="AU247" i="22"/>
  <c r="BF247" i="22" s="1"/>
  <c r="AT247" i="22"/>
  <c r="BE247" i="22" s="1"/>
  <c r="AS247" i="22"/>
  <c r="BD247" i="22" s="1"/>
  <c r="AR247" i="22"/>
  <c r="BC247" i="22" s="1"/>
  <c r="AQ247" i="22"/>
  <c r="BB247" i="22" s="1"/>
  <c r="AP247" i="22"/>
  <c r="BA247" i="22" s="1"/>
  <c r="AO247" i="22"/>
  <c r="AZ247" i="22" s="1"/>
  <c r="AW246" i="22"/>
  <c r="BH246" i="22" s="1"/>
  <c r="AV246" i="22"/>
  <c r="BG246" i="22" s="1"/>
  <c r="AU246" i="22"/>
  <c r="BF246" i="22" s="1"/>
  <c r="AT246" i="22"/>
  <c r="BE246" i="22" s="1"/>
  <c r="AS246" i="22"/>
  <c r="BD246" i="22" s="1"/>
  <c r="AR246" i="22"/>
  <c r="BC246" i="22" s="1"/>
  <c r="AQ246" i="22"/>
  <c r="BB246" i="22" s="1"/>
  <c r="AP246" i="22"/>
  <c r="BA246" i="22" s="1"/>
  <c r="AO246" i="22"/>
  <c r="AZ246" i="22" s="1"/>
  <c r="AW245" i="22"/>
  <c r="BH245" i="22" s="1"/>
  <c r="AV245" i="22"/>
  <c r="BG245" i="22" s="1"/>
  <c r="AU245" i="22"/>
  <c r="BF245" i="22" s="1"/>
  <c r="AT245" i="22"/>
  <c r="BE245" i="22" s="1"/>
  <c r="AS245" i="22"/>
  <c r="BD245" i="22" s="1"/>
  <c r="AR245" i="22"/>
  <c r="BC245" i="22" s="1"/>
  <c r="AQ245" i="22"/>
  <c r="BB245" i="22" s="1"/>
  <c r="AP245" i="22"/>
  <c r="BA245" i="22" s="1"/>
  <c r="AO245" i="22"/>
  <c r="AZ245" i="22" s="1"/>
  <c r="AW244" i="22"/>
  <c r="BH244" i="22" s="1"/>
  <c r="AV244" i="22"/>
  <c r="BG244" i="22" s="1"/>
  <c r="AU244" i="22"/>
  <c r="BF244" i="22" s="1"/>
  <c r="AT244" i="22"/>
  <c r="BE244" i="22" s="1"/>
  <c r="AS244" i="22"/>
  <c r="BD244" i="22" s="1"/>
  <c r="AR244" i="22"/>
  <c r="BC244" i="22" s="1"/>
  <c r="AQ244" i="22"/>
  <c r="BB244" i="22" s="1"/>
  <c r="AP244" i="22"/>
  <c r="BA244" i="22" s="1"/>
  <c r="AO244" i="22"/>
  <c r="AZ244" i="22" s="1"/>
  <c r="AW243" i="22"/>
  <c r="BH243" i="22" s="1"/>
  <c r="AV243" i="22"/>
  <c r="BG243" i="22" s="1"/>
  <c r="AU243" i="22"/>
  <c r="BF243" i="22" s="1"/>
  <c r="AT243" i="22"/>
  <c r="BE243" i="22" s="1"/>
  <c r="AS243" i="22"/>
  <c r="BD243" i="22" s="1"/>
  <c r="AR243" i="22"/>
  <c r="BC243" i="22" s="1"/>
  <c r="AQ243" i="22"/>
  <c r="BB243" i="22" s="1"/>
  <c r="AP243" i="22"/>
  <c r="BA243" i="22" s="1"/>
  <c r="AO243" i="22"/>
  <c r="AZ243" i="22" s="1"/>
  <c r="AW242" i="22"/>
  <c r="BH242" i="22" s="1"/>
  <c r="AV242" i="22"/>
  <c r="BG242" i="22" s="1"/>
  <c r="AU242" i="22"/>
  <c r="BF242" i="22" s="1"/>
  <c r="AT242" i="22"/>
  <c r="BE242" i="22" s="1"/>
  <c r="AS242" i="22"/>
  <c r="BD242" i="22" s="1"/>
  <c r="AR242" i="22"/>
  <c r="BC242" i="22" s="1"/>
  <c r="AQ242" i="22"/>
  <c r="BB242" i="22" s="1"/>
  <c r="AP242" i="22"/>
  <c r="BA242" i="22" s="1"/>
  <c r="AO242" i="22"/>
  <c r="AZ242" i="22" s="1"/>
  <c r="AW241" i="22"/>
  <c r="BH241" i="22" s="1"/>
  <c r="AV241" i="22"/>
  <c r="BG241" i="22" s="1"/>
  <c r="AU241" i="22"/>
  <c r="BF241" i="22" s="1"/>
  <c r="AT241" i="22"/>
  <c r="BE241" i="22" s="1"/>
  <c r="AS241" i="22"/>
  <c r="BD241" i="22" s="1"/>
  <c r="AR241" i="22"/>
  <c r="BC241" i="22" s="1"/>
  <c r="AQ241" i="22"/>
  <c r="BB241" i="22" s="1"/>
  <c r="AP241" i="22"/>
  <c r="BA241" i="22" s="1"/>
  <c r="AO241" i="22"/>
  <c r="AZ241" i="22" s="1"/>
  <c r="AW240" i="22"/>
  <c r="BH240" i="22" s="1"/>
  <c r="AV240" i="22"/>
  <c r="BG240" i="22" s="1"/>
  <c r="AU240" i="22"/>
  <c r="BF240" i="22" s="1"/>
  <c r="AT240" i="22"/>
  <c r="BE240" i="22" s="1"/>
  <c r="AS240" i="22"/>
  <c r="BD240" i="22" s="1"/>
  <c r="AR240" i="22"/>
  <c r="BC240" i="22" s="1"/>
  <c r="AQ240" i="22"/>
  <c r="BB240" i="22" s="1"/>
  <c r="AP240" i="22"/>
  <c r="BA240" i="22" s="1"/>
  <c r="AO240" i="22"/>
  <c r="AZ240" i="22" s="1"/>
  <c r="AW239" i="22"/>
  <c r="BH239" i="22" s="1"/>
  <c r="AV239" i="22"/>
  <c r="BG239" i="22" s="1"/>
  <c r="AU239" i="22"/>
  <c r="BF239" i="22" s="1"/>
  <c r="AT239" i="22"/>
  <c r="BE239" i="22" s="1"/>
  <c r="AS239" i="22"/>
  <c r="BD239" i="22" s="1"/>
  <c r="AR239" i="22"/>
  <c r="BC239" i="22" s="1"/>
  <c r="AQ239" i="22"/>
  <c r="BB239" i="22" s="1"/>
  <c r="AP239" i="22"/>
  <c r="BA239" i="22" s="1"/>
  <c r="AO239" i="22"/>
  <c r="AZ239" i="22" s="1"/>
  <c r="AW238" i="22"/>
  <c r="BH238" i="22" s="1"/>
  <c r="AV238" i="22"/>
  <c r="BG238" i="22" s="1"/>
  <c r="AU238" i="22"/>
  <c r="BF238" i="22" s="1"/>
  <c r="AT238" i="22"/>
  <c r="BE238" i="22" s="1"/>
  <c r="AS238" i="22"/>
  <c r="BD238" i="22" s="1"/>
  <c r="AR238" i="22"/>
  <c r="BC238" i="22" s="1"/>
  <c r="AQ238" i="22"/>
  <c r="BB238" i="22" s="1"/>
  <c r="AP238" i="22"/>
  <c r="BA238" i="22" s="1"/>
  <c r="AO238" i="22"/>
  <c r="AZ238" i="22" s="1"/>
  <c r="AW237" i="22"/>
  <c r="BH237" i="22" s="1"/>
  <c r="AV237" i="22"/>
  <c r="BG237" i="22" s="1"/>
  <c r="AU237" i="22"/>
  <c r="BF237" i="22" s="1"/>
  <c r="AT237" i="22"/>
  <c r="BE237" i="22" s="1"/>
  <c r="AS237" i="22"/>
  <c r="BD237" i="22" s="1"/>
  <c r="AR237" i="22"/>
  <c r="BC237" i="22" s="1"/>
  <c r="AQ237" i="22"/>
  <c r="BB237" i="22" s="1"/>
  <c r="AP237" i="22"/>
  <c r="BA237" i="22" s="1"/>
  <c r="AO237" i="22"/>
  <c r="AZ237" i="22" s="1"/>
  <c r="AW236" i="22"/>
  <c r="BH236" i="22" s="1"/>
  <c r="AV236" i="22"/>
  <c r="BG236" i="22" s="1"/>
  <c r="AU236" i="22"/>
  <c r="BF236" i="22" s="1"/>
  <c r="AT236" i="22"/>
  <c r="BE236" i="22" s="1"/>
  <c r="AS236" i="22"/>
  <c r="BD236" i="22" s="1"/>
  <c r="AR236" i="22"/>
  <c r="BC236" i="22" s="1"/>
  <c r="AQ236" i="22"/>
  <c r="BB236" i="22" s="1"/>
  <c r="AP236" i="22"/>
  <c r="BA236" i="22" s="1"/>
  <c r="AO236" i="22"/>
  <c r="AZ236" i="22" s="1"/>
  <c r="AW234" i="22"/>
  <c r="BH234" i="22" s="1"/>
  <c r="AV234" i="22"/>
  <c r="BG234" i="22" s="1"/>
  <c r="AU234" i="22"/>
  <c r="BF234" i="22" s="1"/>
  <c r="AT234" i="22"/>
  <c r="BE234" i="22" s="1"/>
  <c r="AS234" i="22"/>
  <c r="BD234" i="22" s="1"/>
  <c r="AR234" i="22"/>
  <c r="BC234" i="22" s="1"/>
  <c r="AQ234" i="22"/>
  <c r="BB234" i="22" s="1"/>
  <c r="AP234" i="22"/>
  <c r="BA234" i="22" s="1"/>
  <c r="AO234" i="22"/>
  <c r="AZ234" i="22" s="1"/>
  <c r="AW233" i="22"/>
  <c r="BH233" i="22" s="1"/>
  <c r="AV233" i="22"/>
  <c r="BG233" i="22" s="1"/>
  <c r="AU233" i="22"/>
  <c r="BF233" i="22" s="1"/>
  <c r="AT233" i="22"/>
  <c r="BE233" i="22" s="1"/>
  <c r="AS233" i="22"/>
  <c r="BD233" i="22" s="1"/>
  <c r="AR233" i="22"/>
  <c r="BC233" i="22" s="1"/>
  <c r="AQ233" i="22"/>
  <c r="BB233" i="22" s="1"/>
  <c r="AP233" i="22"/>
  <c r="BA233" i="22" s="1"/>
  <c r="AO233" i="22"/>
  <c r="AZ233" i="22" s="1"/>
  <c r="AW232" i="22"/>
  <c r="BH232" i="22" s="1"/>
  <c r="AV232" i="22"/>
  <c r="BG232" i="22" s="1"/>
  <c r="AU232" i="22"/>
  <c r="BF232" i="22" s="1"/>
  <c r="AT232" i="22"/>
  <c r="BE232" i="22" s="1"/>
  <c r="AS232" i="22"/>
  <c r="BD232" i="22" s="1"/>
  <c r="AR232" i="22"/>
  <c r="BC232" i="22" s="1"/>
  <c r="AQ232" i="22"/>
  <c r="BB232" i="22" s="1"/>
  <c r="AP232" i="22"/>
  <c r="BA232" i="22" s="1"/>
  <c r="AO232" i="22"/>
  <c r="AZ232" i="22" s="1"/>
  <c r="AW231" i="22"/>
  <c r="BH231" i="22" s="1"/>
  <c r="AV231" i="22"/>
  <c r="BG231" i="22" s="1"/>
  <c r="AU231" i="22"/>
  <c r="BF231" i="22" s="1"/>
  <c r="AT231" i="22"/>
  <c r="BE231" i="22" s="1"/>
  <c r="AS231" i="22"/>
  <c r="BD231" i="22" s="1"/>
  <c r="AR231" i="22"/>
  <c r="BC231" i="22" s="1"/>
  <c r="AQ231" i="22"/>
  <c r="BB231" i="22" s="1"/>
  <c r="AP231" i="22"/>
  <c r="BA231" i="22" s="1"/>
  <c r="AO231" i="22"/>
  <c r="AZ231" i="22" s="1"/>
  <c r="AW230" i="22"/>
  <c r="BH230" i="22" s="1"/>
  <c r="AV230" i="22"/>
  <c r="BG230" i="22" s="1"/>
  <c r="AU230" i="22"/>
  <c r="BF230" i="22" s="1"/>
  <c r="AT230" i="22"/>
  <c r="BE230" i="22" s="1"/>
  <c r="AS230" i="22"/>
  <c r="BD230" i="22" s="1"/>
  <c r="AR230" i="22"/>
  <c r="BC230" i="22" s="1"/>
  <c r="AQ230" i="22"/>
  <c r="BB230" i="22" s="1"/>
  <c r="AP230" i="22"/>
  <c r="BA230" i="22" s="1"/>
  <c r="AO230" i="22"/>
  <c r="AZ230" i="22" s="1"/>
  <c r="AW229" i="22"/>
  <c r="BH229" i="22" s="1"/>
  <c r="AV229" i="22"/>
  <c r="BG229" i="22" s="1"/>
  <c r="AU229" i="22"/>
  <c r="BF229" i="22" s="1"/>
  <c r="AT229" i="22"/>
  <c r="BE229" i="22" s="1"/>
  <c r="AS229" i="22"/>
  <c r="BD229" i="22" s="1"/>
  <c r="AR229" i="22"/>
  <c r="BC229" i="22" s="1"/>
  <c r="AQ229" i="22"/>
  <c r="BB229" i="22" s="1"/>
  <c r="AP229" i="22"/>
  <c r="BA229" i="22" s="1"/>
  <c r="AO229" i="22"/>
  <c r="AZ229" i="22" s="1"/>
  <c r="AW228" i="22"/>
  <c r="BH228" i="22" s="1"/>
  <c r="AV228" i="22"/>
  <c r="BG228" i="22" s="1"/>
  <c r="AU228" i="22"/>
  <c r="BF228" i="22" s="1"/>
  <c r="AT228" i="22"/>
  <c r="BE228" i="22" s="1"/>
  <c r="AS228" i="22"/>
  <c r="BD228" i="22" s="1"/>
  <c r="AR228" i="22"/>
  <c r="BC228" i="22" s="1"/>
  <c r="AQ228" i="22"/>
  <c r="BB228" i="22" s="1"/>
  <c r="AP228" i="22"/>
  <c r="BA228" i="22" s="1"/>
  <c r="AO228" i="22"/>
  <c r="AZ228" i="22" s="1"/>
  <c r="AW227" i="22"/>
  <c r="BH227" i="22" s="1"/>
  <c r="AV227" i="22"/>
  <c r="BG227" i="22" s="1"/>
  <c r="AU227" i="22"/>
  <c r="BF227" i="22" s="1"/>
  <c r="AT227" i="22"/>
  <c r="BE227" i="22" s="1"/>
  <c r="AS227" i="22"/>
  <c r="BD227" i="22" s="1"/>
  <c r="AR227" i="22"/>
  <c r="BC227" i="22" s="1"/>
  <c r="AQ227" i="22"/>
  <c r="BB227" i="22" s="1"/>
  <c r="AP227" i="22"/>
  <c r="BA227" i="22" s="1"/>
  <c r="AO227" i="22"/>
  <c r="AZ227" i="22" s="1"/>
  <c r="AW226" i="22"/>
  <c r="BH226" i="22" s="1"/>
  <c r="AV226" i="22"/>
  <c r="BG226" i="22" s="1"/>
  <c r="AU226" i="22"/>
  <c r="BF226" i="22" s="1"/>
  <c r="AT226" i="22"/>
  <c r="BE226" i="22" s="1"/>
  <c r="AS226" i="22"/>
  <c r="BD226" i="22" s="1"/>
  <c r="AR226" i="22"/>
  <c r="BC226" i="22" s="1"/>
  <c r="AQ226" i="22"/>
  <c r="BB226" i="22" s="1"/>
  <c r="AP226" i="22"/>
  <c r="BA226" i="22" s="1"/>
  <c r="AO226" i="22"/>
  <c r="AZ226" i="22" s="1"/>
  <c r="AW225" i="22"/>
  <c r="BH225" i="22" s="1"/>
  <c r="AV225" i="22"/>
  <c r="BG225" i="22" s="1"/>
  <c r="AU225" i="22"/>
  <c r="BF225" i="22" s="1"/>
  <c r="AT225" i="22"/>
  <c r="BE225" i="22" s="1"/>
  <c r="AS225" i="22"/>
  <c r="BD225" i="22" s="1"/>
  <c r="AR225" i="22"/>
  <c r="BC225" i="22" s="1"/>
  <c r="AQ225" i="22"/>
  <c r="BB225" i="22" s="1"/>
  <c r="AP225" i="22"/>
  <c r="BA225" i="22" s="1"/>
  <c r="AO225" i="22"/>
  <c r="AZ225" i="22" s="1"/>
  <c r="AW224" i="22"/>
  <c r="BH224" i="22" s="1"/>
  <c r="AV224" i="22"/>
  <c r="BG224" i="22" s="1"/>
  <c r="AU224" i="22"/>
  <c r="BF224" i="22" s="1"/>
  <c r="AT224" i="22"/>
  <c r="BE224" i="22" s="1"/>
  <c r="AS224" i="22"/>
  <c r="BD224" i="22" s="1"/>
  <c r="AR224" i="22"/>
  <c r="BC224" i="22" s="1"/>
  <c r="AQ224" i="22"/>
  <c r="BB224" i="22" s="1"/>
  <c r="AP224" i="22"/>
  <c r="BA224" i="22" s="1"/>
  <c r="AO224" i="22"/>
  <c r="AZ224" i="22" s="1"/>
  <c r="AW223" i="22"/>
  <c r="BH223" i="22" s="1"/>
  <c r="AV223" i="22"/>
  <c r="BG223" i="22" s="1"/>
  <c r="AU223" i="22"/>
  <c r="BF223" i="22" s="1"/>
  <c r="AT223" i="22"/>
  <c r="BE223" i="22" s="1"/>
  <c r="AS223" i="22"/>
  <c r="BD223" i="22" s="1"/>
  <c r="AR223" i="22"/>
  <c r="BC223" i="22" s="1"/>
  <c r="AQ223" i="22"/>
  <c r="BB223" i="22" s="1"/>
  <c r="AP223" i="22"/>
  <c r="BA223" i="22" s="1"/>
  <c r="AO223" i="22"/>
  <c r="AZ223" i="22" s="1"/>
  <c r="AW222" i="22"/>
  <c r="BH222" i="22" s="1"/>
  <c r="AV222" i="22"/>
  <c r="BG222" i="22" s="1"/>
  <c r="AU222" i="22"/>
  <c r="BF222" i="22" s="1"/>
  <c r="AT222" i="22"/>
  <c r="BE222" i="22" s="1"/>
  <c r="AS222" i="22"/>
  <c r="BD222" i="22" s="1"/>
  <c r="AR222" i="22"/>
  <c r="BC222" i="22" s="1"/>
  <c r="AQ222" i="22"/>
  <c r="BB222" i="22" s="1"/>
  <c r="AP222" i="22"/>
  <c r="BA222" i="22" s="1"/>
  <c r="AO222" i="22"/>
  <c r="AZ222" i="22" s="1"/>
  <c r="AW221" i="22"/>
  <c r="BH221" i="22" s="1"/>
  <c r="AV221" i="22"/>
  <c r="BG221" i="22" s="1"/>
  <c r="AU221" i="22"/>
  <c r="BF221" i="22" s="1"/>
  <c r="AT221" i="22"/>
  <c r="BE221" i="22" s="1"/>
  <c r="AS221" i="22"/>
  <c r="BD221" i="22" s="1"/>
  <c r="AR221" i="22"/>
  <c r="BC221" i="22" s="1"/>
  <c r="AQ221" i="22"/>
  <c r="BB221" i="22" s="1"/>
  <c r="AP221" i="22"/>
  <c r="BA221" i="22" s="1"/>
  <c r="AO221" i="22"/>
  <c r="AZ221" i="22" s="1"/>
  <c r="AW220" i="22"/>
  <c r="BH220" i="22" s="1"/>
  <c r="AV220" i="22"/>
  <c r="BG220" i="22" s="1"/>
  <c r="AU220" i="22"/>
  <c r="BF220" i="22" s="1"/>
  <c r="AT220" i="22"/>
  <c r="BE220" i="22" s="1"/>
  <c r="AS220" i="22"/>
  <c r="BD220" i="22" s="1"/>
  <c r="AR220" i="22"/>
  <c r="BC220" i="22" s="1"/>
  <c r="AQ220" i="22"/>
  <c r="BB220" i="22" s="1"/>
  <c r="AP220" i="22"/>
  <c r="BA220" i="22" s="1"/>
  <c r="AO220" i="22"/>
  <c r="AZ220" i="22" s="1"/>
  <c r="AW219" i="22"/>
  <c r="BH219" i="22" s="1"/>
  <c r="AV219" i="22"/>
  <c r="BG219" i="22" s="1"/>
  <c r="AU219" i="22"/>
  <c r="BF219" i="22" s="1"/>
  <c r="AT219" i="22"/>
  <c r="BE219" i="22" s="1"/>
  <c r="AS219" i="22"/>
  <c r="BD219" i="22" s="1"/>
  <c r="AR219" i="22"/>
  <c r="BC219" i="22" s="1"/>
  <c r="AQ219" i="22"/>
  <c r="BB219" i="22" s="1"/>
  <c r="AP219" i="22"/>
  <c r="BA219" i="22" s="1"/>
  <c r="AO219" i="22"/>
  <c r="AZ219" i="22" s="1"/>
  <c r="AW218" i="22"/>
  <c r="BH218" i="22" s="1"/>
  <c r="AV218" i="22"/>
  <c r="BG218" i="22" s="1"/>
  <c r="AU218" i="22"/>
  <c r="BF218" i="22" s="1"/>
  <c r="AT218" i="22"/>
  <c r="BE218" i="22" s="1"/>
  <c r="AS218" i="22"/>
  <c r="BD218" i="22" s="1"/>
  <c r="AR218" i="22"/>
  <c r="BC218" i="22" s="1"/>
  <c r="AQ218" i="22"/>
  <c r="BB218" i="22" s="1"/>
  <c r="AP218" i="22"/>
  <c r="BA218" i="22" s="1"/>
  <c r="AO218" i="22"/>
  <c r="AZ218" i="22" s="1"/>
  <c r="AW217" i="22"/>
  <c r="BH217" i="22" s="1"/>
  <c r="AV217" i="22"/>
  <c r="BG217" i="22" s="1"/>
  <c r="AU217" i="22"/>
  <c r="BF217" i="22" s="1"/>
  <c r="AT217" i="22"/>
  <c r="BE217" i="22" s="1"/>
  <c r="AS217" i="22"/>
  <c r="BD217" i="22" s="1"/>
  <c r="AR217" i="22"/>
  <c r="BC217" i="22" s="1"/>
  <c r="AQ217" i="22"/>
  <c r="BB217" i="22" s="1"/>
  <c r="AP217" i="22"/>
  <c r="BA217" i="22" s="1"/>
  <c r="AO217" i="22"/>
  <c r="AZ217" i="22" s="1"/>
  <c r="AW216" i="22"/>
  <c r="BH216" i="22" s="1"/>
  <c r="AV216" i="22"/>
  <c r="BG216" i="22" s="1"/>
  <c r="AU216" i="22"/>
  <c r="BF216" i="22" s="1"/>
  <c r="AT216" i="22"/>
  <c r="BE216" i="22" s="1"/>
  <c r="AS216" i="22"/>
  <c r="BD216" i="22" s="1"/>
  <c r="AR216" i="22"/>
  <c r="BC216" i="22" s="1"/>
  <c r="AQ216" i="22"/>
  <c r="BB216" i="22" s="1"/>
  <c r="AP216" i="22"/>
  <c r="BA216" i="22" s="1"/>
  <c r="AO216" i="22"/>
  <c r="AZ216" i="22" s="1"/>
  <c r="AW215" i="22"/>
  <c r="BH215" i="22" s="1"/>
  <c r="AV215" i="22"/>
  <c r="BG215" i="22" s="1"/>
  <c r="AU215" i="22"/>
  <c r="BF215" i="22" s="1"/>
  <c r="AT215" i="22"/>
  <c r="BE215" i="22" s="1"/>
  <c r="AS215" i="22"/>
  <c r="BD215" i="22" s="1"/>
  <c r="AR215" i="22"/>
  <c r="BC215" i="22" s="1"/>
  <c r="AQ215" i="22"/>
  <c r="BB215" i="22" s="1"/>
  <c r="AP215" i="22"/>
  <c r="BA215" i="22" s="1"/>
  <c r="AO215" i="22"/>
  <c r="AZ215" i="22" s="1"/>
  <c r="AW214" i="22"/>
  <c r="BH214" i="22" s="1"/>
  <c r="AV214" i="22"/>
  <c r="BG214" i="22" s="1"/>
  <c r="AU214" i="22"/>
  <c r="BF214" i="22" s="1"/>
  <c r="AT214" i="22"/>
  <c r="BE214" i="22" s="1"/>
  <c r="AS214" i="22"/>
  <c r="BD214" i="22" s="1"/>
  <c r="AR214" i="22"/>
  <c r="BC214" i="22" s="1"/>
  <c r="AQ214" i="22"/>
  <c r="BB214" i="22" s="1"/>
  <c r="AP214" i="22"/>
  <c r="BA214" i="22" s="1"/>
  <c r="AO214" i="22"/>
  <c r="AZ214" i="22" s="1"/>
  <c r="AW213" i="22"/>
  <c r="BH213" i="22" s="1"/>
  <c r="AV213" i="22"/>
  <c r="BG213" i="22" s="1"/>
  <c r="AU213" i="22"/>
  <c r="BF213" i="22" s="1"/>
  <c r="AT213" i="22"/>
  <c r="BE213" i="22" s="1"/>
  <c r="AS213" i="22"/>
  <c r="BD213" i="22" s="1"/>
  <c r="AR213" i="22"/>
  <c r="BC213" i="22" s="1"/>
  <c r="AQ213" i="22"/>
  <c r="BB213" i="22" s="1"/>
  <c r="AP213" i="22"/>
  <c r="BA213" i="22" s="1"/>
  <c r="AO213" i="22"/>
  <c r="AZ213" i="22" s="1"/>
  <c r="AW212" i="22"/>
  <c r="BH212" i="22" s="1"/>
  <c r="AV212" i="22"/>
  <c r="BG212" i="22" s="1"/>
  <c r="AU212" i="22"/>
  <c r="BF212" i="22" s="1"/>
  <c r="AT212" i="22"/>
  <c r="BE212" i="22" s="1"/>
  <c r="AS212" i="22"/>
  <c r="BD212" i="22" s="1"/>
  <c r="AR212" i="22"/>
  <c r="BC212" i="22" s="1"/>
  <c r="AQ212" i="22"/>
  <c r="BB212" i="22" s="1"/>
  <c r="AP212" i="22"/>
  <c r="BA212" i="22" s="1"/>
  <c r="AO212" i="22"/>
  <c r="AZ212" i="22" s="1"/>
  <c r="AW211" i="22"/>
  <c r="BH211" i="22" s="1"/>
  <c r="AV211" i="22"/>
  <c r="BG211" i="22" s="1"/>
  <c r="AU211" i="22"/>
  <c r="BF211" i="22" s="1"/>
  <c r="AT211" i="22"/>
  <c r="BE211" i="22" s="1"/>
  <c r="AS211" i="22"/>
  <c r="BD211" i="22" s="1"/>
  <c r="AR211" i="22"/>
  <c r="BC211" i="22" s="1"/>
  <c r="AQ211" i="22"/>
  <c r="BB211" i="22" s="1"/>
  <c r="AP211" i="22"/>
  <c r="BA211" i="22" s="1"/>
  <c r="AO211" i="22"/>
  <c r="AZ211" i="22" s="1"/>
  <c r="AW210" i="22"/>
  <c r="BH210" i="22" s="1"/>
  <c r="AV210" i="22"/>
  <c r="BG210" i="22" s="1"/>
  <c r="AU210" i="22"/>
  <c r="BF210" i="22" s="1"/>
  <c r="AT210" i="22"/>
  <c r="BE210" i="22" s="1"/>
  <c r="AS210" i="22"/>
  <c r="BD210" i="22" s="1"/>
  <c r="AR210" i="22"/>
  <c r="BC210" i="22" s="1"/>
  <c r="AQ210" i="22"/>
  <c r="BB210" i="22" s="1"/>
  <c r="AP210" i="22"/>
  <c r="BA210" i="22" s="1"/>
  <c r="AO210" i="22"/>
  <c r="AZ210" i="22" s="1"/>
  <c r="AW209" i="22"/>
  <c r="BH209" i="22" s="1"/>
  <c r="AV209" i="22"/>
  <c r="BG209" i="22" s="1"/>
  <c r="AU209" i="22"/>
  <c r="BF209" i="22" s="1"/>
  <c r="AT209" i="22"/>
  <c r="BE209" i="22" s="1"/>
  <c r="AS209" i="22"/>
  <c r="BD209" i="22" s="1"/>
  <c r="AR209" i="22"/>
  <c r="BC209" i="22" s="1"/>
  <c r="AQ209" i="22"/>
  <c r="BB209" i="22" s="1"/>
  <c r="AP209" i="22"/>
  <c r="BA209" i="22" s="1"/>
  <c r="AO209" i="22"/>
  <c r="AZ209" i="22" s="1"/>
  <c r="AW208" i="22"/>
  <c r="BH208" i="22" s="1"/>
  <c r="AV208" i="22"/>
  <c r="BG208" i="22" s="1"/>
  <c r="AU208" i="22"/>
  <c r="BF208" i="22" s="1"/>
  <c r="AT208" i="22"/>
  <c r="BE208" i="22" s="1"/>
  <c r="AS208" i="22"/>
  <c r="BD208" i="22" s="1"/>
  <c r="AR208" i="22"/>
  <c r="BC208" i="22" s="1"/>
  <c r="AQ208" i="22"/>
  <c r="BB208" i="22" s="1"/>
  <c r="AP208" i="22"/>
  <c r="BA208" i="22" s="1"/>
  <c r="AO208" i="22"/>
  <c r="AZ208" i="22" s="1"/>
  <c r="AW207" i="22"/>
  <c r="BH207" i="22" s="1"/>
  <c r="AV207" i="22"/>
  <c r="BG207" i="22" s="1"/>
  <c r="AU207" i="22"/>
  <c r="BF207" i="22" s="1"/>
  <c r="AT207" i="22"/>
  <c r="BE207" i="22" s="1"/>
  <c r="AS207" i="22"/>
  <c r="BD207" i="22" s="1"/>
  <c r="AR207" i="22"/>
  <c r="BC207" i="22" s="1"/>
  <c r="AQ207" i="22"/>
  <c r="BB207" i="22" s="1"/>
  <c r="AP207" i="22"/>
  <c r="BA207" i="22" s="1"/>
  <c r="AO207" i="22"/>
  <c r="AZ207" i="22" s="1"/>
  <c r="AW206" i="22"/>
  <c r="BH206" i="22" s="1"/>
  <c r="AV206" i="22"/>
  <c r="BG206" i="22" s="1"/>
  <c r="AU206" i="22"/>
  <c r="BF206" i="22" s="1"/>
  <c r="AT206" i="22"/>
  <c r="BE206" i="22" s="1"/>
  <c r="AS206" i="22"/>
  <c r="BD206" i="22" s="1"/>
  <c r="AR206" i="22"/>
  <c r="BC206" i="22" s="1"/>
  <c r="AQ206" i="22"/>
  <c r="BB206" i="22" s="1"/>
  <c r="AP206" i="22"/>
  <c r="BA206" i="22" s="1"/>
  <c r="AO206" i="22"/>
  <c r="AZ206" i="22" s="1"/>
  <c r="AW205" i="22"/>
  <c r="BH205" i="22" s="1"/>
  <c r="AV205" i="22"/>
  <c r="BG205" i="22" s="1"/>
  <c r="AU205" i="22"/>
  <c r="BF205" i="22" s="1"/>
  <c r="AT205" i="22"/>
  <c r="BE205" i="22" s="1"/>
  <c r="AS205" i="22"/>
  <c r="BD205" i="22" s="1"/>
  <c r="AR205" i="22"/>
  <c r="BC205" i="22" s="1"/>
  <c r="AQ205" i="22"/>
  <c r="BB205" i="22" s="1"/>
  <c r="AP205" i="22"/>
  <c r="BA205" i="22" s="1"/>
  <c r="AO205" i="22"/>
  <c r="AZ205" i="22" s="1"/>
  <c r="AW204" i="22"/>
  <c r="BH204" i="22" s="1"/>
  <c r="AV204" i="22"/>
  <c r="BG204" i="22" s="1"/>
  <c r="AU204" i="22"/>
  <c r="BF204" i="22" s="1"/>
  <c r="AT204" i="22"/>
  <c r="BE204" i="22" s="1"/>
  <c r="AS204" i="22"/>
  <c r="BD204" i="22" s="1"/>
  <c r="AR204" i="22"/>
  <c r="BC204" i="22" s="1"/>
  <c r="AQ204" i="22"/>
  <c r="BB204" i="22" s="1"/>
  <c r="AP204" i="22"/>
  <c r="BA204" i="22" s="1"/>
  <c r="AO204" i="22"/>
  <c r="AZ204" i="22" s="1"/>
  <c r="AW203" i="22"/>
  <c r="BH203" i="22" s="1"/>
  <c r="AV203" i="22"/>
  <c r="BG203" i="22" s="1"/>
  <c r="AU203" i="22"/>
  <c r="BF203" i="22" s="1"/>
  <c r="AT203" i="22"/>
  <c r="BE203" i="22" s="1"/>
  <c r="AS203" i="22"/>
  <c r="BD203" i="22" s="1"/>
  <c r="AR203" i="22"/>
  <c r="BC203" i="22" s="1"/>
  <c r="AQ203" i="22"/>
  <c r="BB203" i="22" s="1"/>
  <c r="AP203" i="22"/>
  <c r="BA203" i="22" s="1"/>
  <c r="AO203" i="22"/>
  <c r="AZ203" i="22" s="1"/>
  <c r="AW202" i="22"/>
  <c r="BH202" i="22" s="1"/>
  <c r="AV202" i="22"/>
  <c r="BG202" i="22" s="1"/>
  <c r="AU202" i="22"/>
  <c r="BF202" i="22" s="1"/>
  <c r="AT202" i="22"/>
  <c r="BE202" i="22" s="1"/>
  <c r="AS202" i="22"/>
  <c r="BD202" i="22" s="1"/>
  <c r="AR202" i="22"/>
  <c r="BC202" i="22" s="1"/>
  <c r="AQ202" i="22"/>
  <c r="BB202" i="22" s="1"/>
  <c r="AP202" i="22"/>
  <c r="BA202" i="22" s="1"/>
  <c r="AO202" i="22"/>
  <c r="AZ202" i="22" s="1"/>
  <c r="AW201" i="22"/>
  <c r="BH201" i="22" s="1"/>
  <c r="AV201" i="22"/>
  <c r="BG201" i="22" s="1"/>
  <c r="AU201" i="22"/>
  <c r="BF201" i="22" s="1"/>
  <c r="AT201" i="22"/>
  <c r="BE201" i="22" s="1"/>
  <c r="AS201" i="22"/>
  <c r="BD201" i="22" s="1"/>
  <c r="AR201" i="22"/>
  <c r="BC201" i="22" s="1"/>
  <c r="AQ201" i="22"/>
  <c r="BB201" i="22" s="1"/>
  <c r="AP201" i="22"/>
  <c r="BA201" i="22" s="1"/>
  <c r="AO201" i="22"/>
  <c r="AZ201" i="22" s="1"/>
  <c r="AW200" i="22"/>
  <c r="BH200" i="22" s="1"/>
  <c r="AV200" i="22"/>
  <c r="BG200" i="22" s="1"/>
  <c r="AU200" i="22"/>
  <c r="BF200" i="22" s="1"/>
  <c r="AT200" i="22"/>
  <c r="BE200" i="22" s="1"/>
  <c r="AS200" i="22"/>
  <c r="BD200" i="22" s="1"/>
  <c r="AR200" i="22"/>
  <c r="BC200" i="22" s="1"/>
  <c r="AQ200" i="22"/>
  <c r="BB200" i="22" s="1"/>
  <c r="AP200" i="22"/>
  <c r="BA200" i="22" s="1"/>
  <c r="AO200" i="22"/>
  <c r="AZ200" i="22" s="1"/>
  <c r="AW199" i="22"/>
  <c r="BH199" i="22" s="1"/>
  <c r="AV199" i="22"/>
  <c r="BG199" i="22" s="1"/>
  <c r="AU199" i="22"/>
  <c r="BF199" i="22" s="1"/>
  <c r="AT199" i="22"/>
  <c r="BE199" i="22" s="1"/>
  <c r="AS199" i="22"/>
  <c r="BD199" i="22" s="1"/>
  <c r="AR199" i="22"/>
  <c r="BC199" i="22" s="1"/>
  <c r="AQ199" i="22"/>
  <c r="BB199" i="22" s="1"/>
  <c r="AP199" i="22"/>
  <c r="BA199" i="22" s="1"/>
  <c r="AO199" i="22"/>
  <c r="AZ199" i="22" s="1"/>
  <c r="AW198" i="22"/>
  <c r="BH198" i="22" s="1"/>
  <c r="AV198" i="22"/>
  <c r="BG198" i="22" s="1"/>
  <c r="AU198" i="22"/>
  <c r="BF198" i="22" s="1"/>
  <c r="AT198" i="22"/>
  <c r="BE198" i="22" s="1"/>
  <c r="AS198" i="22"/>
  <c r="BD198" i="22" s="1"/>
  <c r="AR198" i="22"/>
  <c r="BC198" i="22" s="1"/>
  <c r="AQ198" i="22"/>
  <c r="BB198" i="22" s="1"/>
  <c r="AP198" i="22"/>
  <c r="BA198" i="22" s="1"/>
  <c r="AO198" i="22"/>
  <c r="AZ198" i="22" s="1"/>
  <c r="AW197" i="22"/>
  <c r="BH197" i="22" s="1"/>
  <c r="AV197" i="22"/>
  <c r="BG197" i="22" s="1"/>
  <c r="AU197" i="22"/>
  <c r="BF197" i="22" s="1"/>
  <c r="AT197" i="22"/>
  <c r="BE197" i="22" s="1"/>
  <c r="AS197" i="22"/>
  <c r="BD197" i="22" s="1"/>
  <c r="AR197" i="22"/>
  <c r="BC197" i="22" s="1"/>
  <c r="AQ197" i="22"/>
  <c r="BB197" i="22" s="1"/>
  <c r="AP197" i="22"/>
  <c r="BA197" i="22" s="1"/>
  <c r="AO197" i="22"/>
  <c r="AZ197" i="22" s="1"/>
  <c r="AW196" i="22"/>
  <c r="BH196" i="22" s="1"/>
  <c r="AV196" i="22"/>
  <c r="BG196" i="22" s="1"/>
  <c r="AU196" i="22"/>
  <c r="BF196" i="22" s="1"/>
  <c r="AT196" i="22"/>
  <c r="BE196" i="22" s="1"/>
  <c r="AS196" i="22"/>
  <c r="BD196" i="22" s="1"/>
  <c r="AR196" i="22"/>
  <c r="BC196" i="22" s="1"/>
  <c r="AQ196" i="22"/>
  <c r="BB196" i="22" s="1"/>
  <c r="AP196" i="22"/>
  <c r="BA196" i="22" s="1"/>
  <c r="AO196" i="22"/>
  <c r="AZ196" i="22" s="1"/>
  <c r="AW195" i="22"/>
  <c r="BH195" i="22" s="1"/>
  <c r="AV195" i="22"/>
  <c r="BG195" i="22" s="1"/>
  <c r="AU195" i="22"/>
  <c r="BF195" i="22" s="1"/>
  <c r="AT195" i="22"/>
  <c r="BE195" i="22" s="1"/>
  <c r="AS195" i="22"/>
  <c r="BD195" i="22" s="1"/>
  <c r="AR195" i="22"/>
  <c r="BC195" i="22" s="1"/>
  <c r="AQ195" i="22"/>
  <c r="BB195" i="22" s="1"/>
  <c r="AP195" i="22"/>
  <c r="BA195" i="22" s="1"/>
  <c r="AO195" i="22"/>
  <c r="AZ195" i="22" s="1"/>
  <c r="AW193" i="22"/>
  <c r="BH193" i="22" s="1"/>
  <c r="AV193" i="22"/>
  <c r="BG193" i="22" s="1"/>
  <c r="AU193" i="22"/>
  <c r="BF193" i="22" s="1"/>
  <c r="AT193" i="22"/>
  <c r="BE193" i="22" s="1"/>
  <c r="AS193" i="22"/>
  <c r="BD193" i="22" s="1"/>
  <c r="AR193" i="22"/>
  <c r="BC193" i="22" s="1"/>
  <c r="AQ193" i="22"/>
  <c r="BB193" i="22" s="1"/>
  <c r="AP193" i="22"/>
  <c r="BA193" i="22" s="1"/>
  <c r="AO193" i="22"/>
  <c r="AZ193" i="22" s="1"/>
  <c r="AW192" i="22"/>
  <c r="BH192" i="22" s="1"/>
  <c r="AV192" i="22"/>
  <c r="BG192" i="22" s="1"/>
  <c r="AU192" i="22"/>
  <c r="BF192" i="22" s="1"/>
  <c r="AT192" i="22"/>
  <c r="BE192" i="22" s="1"/>
  <c r="AS192" i="22"/>
  <c r="BD192" i="22" s="1"/>
  <c r="AR192" i="22"/>
  <c r="BC192" i="22" s="1"/>
  <c r="AQ192" i="22"/>
  <c r="BB192" i="22" s="1"/>
  <c r="AP192" i="22"/>
  <c r="BA192" i="22" s="1"/>
  <c r="AO192" i="22"/>
  <c r="AZ192" i="22" s="1"/>
  <c r="AW191" i="22"/>
  <c r="BH191" i="22" s="1"/>
  <c r="AV191" i="22"/>
  <c r="BG191" i="22" s="1"/>
  <c r="AU191" i="22"/>
  <c r="BF191" i="22" s="1"/>
  <c r="AT191" i="22"/>
  <c r="BE191" i="22" s="1"/>
  <c r="AS191" i="22"/>
  <c r="BD191" i="22" s="1"/>
  <c r="AR191" i="22"/>
  <c r="BC191" i="22" s="1"/>
  <c r="AQ191" i="22"/>
  <c r="BB191" i="22" s="1"/>
  <c r="AP191" i="22"/>
  <c r="BA191" i="22" s="1"/>
  <c r="AO191" i="22"/>
  <c r="AZ191" i="22" s="1"/>
  <c r="AW190" i="22"/>
  <c r="BH190" i="22" s="1"/>
  <c r="AV190" i="22"/>
  <c r="BG190" i="22" s="1"/>
  <c r="AU190" i="22"/>
  <c r="BF190" i="22" s="1"/>
  <c r="AT190" i="22"/>
  <c r="BE190" i="22" s="1"/>
  <c r="AS190" i="22"/>
  <c r="BD190" i="22" s="1"/>
  <c r="AR190" i="22"/>
  <c r="BC190" i="22" s="1"/>
  <c r="AQ190" i="22"/>
  <c r="BB190" i="22" s="1"/>
  <c r="AP190" i="22"/>
  <c r="BA190" i="22" s="1"/>
  <c r="AO190" i="22"/>
  <c r="AZ190" i="22" s="1"/>
  <c r="AW189" i="22"/>
  <c r="BH189" i="22" s="1"/>
  <c r="AV189" i="22"/>
  <c r="BG189" i="22" s="1"/>
  <c r="AU189" i="22"/>
  <c r="BF189" i="22" s="1"/>
  <c r="AT189" i="22"/>
  <c r="BE189" i="22" s="1"/>
  <c r="AS189" i="22"/>
  <c r="BD189" i="22" s="1"/>
  <c r="AR189" i="22"/>
  <c r="BC189" i="22" s="1"/>
  <c r="AQ189" i="22"/>
  <c r="BB189" i="22" s="1"/>
  <c r="AP189" i="22"/>
  <c r="BA189" i="22" s="1"/>
  <c r="AO189" i="22"/>
  <c r="AZ189" i="22" s="1"/>
  <c r="AW188" i="22"/>
  <c r="BH188" i="22" s="1"/>
  <c r="AV188" i="22"/>
  <c r="BG188" i="22" s="1"/>
  <c r="AU188" i="22"/>
  <c r="BF188" i="22" s="1"/>
  <c r="AT188" i="22"/>
  <c r="BE188" i="22" s="1"/>
  <c r="AS188" i="22"/>
  <c r="BD188" i="22" s="1"/>
  <c r="AR188" i="22"/>
  <c r="BC188" i="22" s="1"/>
  <c r="AQ188" i="22"/>
  <c r="BB188" i="22" s="1"/>
  <c r="AP188" i="22"/>
  <c r="BA188" i="22" s="1"/>
  <c r="AO188" i="22"/>
  <c r="AZ188" i="22" s="1"/>
  <c r="AW187" i="22"/>
  <c r="BH187" i="22" s="1"/>
  <c r="AV187" i="22"/>
  <c r="BG187" i="22" s="1"/>
  <c r="AU187" i="22"/>
  <c r="BF187" i="22" s="1"/>
  <c r="AT187" i="22"/>
  <c r="BE187" i="22" s="1"/>
  <c r="AS187" i="22"/>
  <c r="BD187" i="22" s="1"/>
  <c r="AR187" i="22"/>
  <c r="BC187" i="22" s="1"/>
  <c r="AQ187" i="22"/>
  <c r="BB187" i="22" s="1"/>
  <c r="AP187" i="22"/>
  <c r="BA187" i="22" s="1"/>
  <c r="AO187" i="22"/>
  <c r="AZ187" i="22" s="1"/>
  <c r="AW186" i="22"/>
  <c r="BH186" i="22" s="1"/>
  <c r="AV186" i="22"/>
  <c r="BG186" i="22" s="1"/>
  <c r="AU186" i="22"/>
  <c r="BF186" i="22" s="1"/>
  <c r="AT186" i="22"/>
  <c r="BE186" i="22" s="1"/>
  <c r="AS186" i="22"/>
  <c r="BD186" i="22" s="1"/>
  <c r="AR186" i="22"/>
  <c r="BC186" i="22" s="1"/>
  <c r="AQ186" i="22"/>
  <c r="BB186" i="22" s="1"/>
  <c r="AP186" i="22"/>
  <c r="BA186" i="22" s="1"/>
  <c r="AO186" i="22"/>
  <c r="AZ186" i="22" s="1"/>
  <c r="AW185" i="22"/>
  <c r="BH185" i="22" s="1"/>
  <c r="AV185" i="22"/>
  <c r="BG185" i="22" s="1"/>
  <c r="AU185" i="22"/>
  <c r="BF185" i="22" s="1"/>
  <c r="AT185" i="22"/>
  <c r="BE185" i="22" s="1"/>
  <c r="AS185" i="22"/>
  <c r="BD185" i="22" s="1"/>
  <c r="AR185" i="22"/>
  <c r="BC185" i="22" s="1"/>
  <c r="AQ185" i="22"/>
  <c r="BB185" i="22" s="1"/>
  <c r="AP185" i="22"/>
  <c r="BA185" i="22" s="1"/>
  <c r="AO185" i="22"/>
  <c r="AZ185" i="22" s="1"/>
  <c r="AW184" i="22"/>
  <c r="BH184" i="22" s="1"/>
  <c r="AV184" i="22"/>
  <c r="BG184" i="22" s="1"/>
  <c r="AU184" i="22"/>
  <c r="BF184" i="22" s="1"/>
  <c r="AT184" i="22"/>
  <c r="BE184" i="22" s="1"/>
  <c r="AS184" i="22"/>
  <c r="BD184" i="22" s="1"/>
  <c r="AR184" i="22"/>
  <c r="BC184" i="22" s="1"/>
  <c r="AQ184" i="22"/>
  <c r="BB184" i="22" s="1"/>
  <c r="AP184" i="22"/>
  <c r="BA184" i="22" s="1"/>
  <c r="AO184" i="22"/>
  <c r="AZ184" i="22" s="1"/>
  <c r="AW183" i="22"/>
  <c r="BH183" i="22" s="1"/>
  <c r="AV183" i="22"/>
  <c r="BG183" i="22" s="1"/>
  <c r="AU183" i="22"/>
  <c r="BF183" i="22" s="1"/>
  <c r="AT183" i="22"/>
  <c r="BE183" i="22" s="1"/>
  <c r="AS183" i="22"/>
  <c r="BD183" i="22" s="1"/>
  <c r="AR183" i="22"/>
  <c r="BC183" i="22" s="1"/>
  <c r="AQ183" i="22"/>
  <c r="BB183" i="22" s="1"/>
  <c r="AP183" i="22"/>
  <c r="BA183" i="22" s="1"/>
  <c r="AO183" i="22"/>
  <c r="AZ183" i="22" s="1"/>
  <c r="AW182" i="22"/>
  <c r="BH182" i="22" s="1"/>
  <c r="AV182" i="22"/>
  <c r="BG182" i="22" s="1"/>
  <c r="AU182" i="22"/>
  <c r="BF182" i="22" s="1"/>
  <c r="AT182" i="22"/>
  <c r="BE182" i="22" s="1"/>
  <c r="AS182" i="22"/>
  <c r="BD182" i="22" s="1"/>
  <c r="AR182" i="22"/>
  <c r="BC182" i="22" s="1"/>
  <c r="AQ182" i="22"/>
  <c r="BB182" i="22" s="1"/>
  <c r="AP182" i="22"/>
  <c r="BA182" i="22" s="1"/>
  <c r="AO182" i="22"/>
  <c r="AZ182" i="22" s="1"/>
  <c r="AW181" i="22"/>
  <c r="BH181" i="22" s="1"/>
  <c r="AV181" i="22"/>
  <c r="BG181" i="22" s="1"/>
  <c r="AU181" i="22"/>
  <c r="BF181" i="22" s="1"/>
  <c r="AT181" i="22"/>
  <c r="BE181" i="22" s="1"/>
  <c r="AS181" i="22"/>
  <c r="BD181" i="22" s="1"/>
  <c r="AR181" i="22"/>
  <c r="BC181" i="22" s="1"/>
  <c r="AQ181" i="22"/>
  <c r="BB181" i="22" s="1"/>
  <c r="AP181" i="22"/>
  <c r="BA181" i="22" s="1"/>
  <c r="AO181" i="22"/>
  <c r="AZ181" i="22" s="1"/>
  <c r="AW180" i="22"/>
  <c r="BH180" i="22" s="1"/>
  <c r="AV180" i="22"/>
  <c r="BG180" i="22" s="1"/>
  <c r="AU180" i="22"/>
  <c r="BF180" i="22" s="1"/>
  <c r="AT180" i="22"/>
  <c r="BE180" i="22" s="1"/>
  <c r="AS180" i="22"/>
  <c r="BD180" i="22" s="1"/>
  <c r="AR180" i="22"/>
  <c r="BC180" i="22" s="1"/>
  <c r="AQ180" i="22"/>
  <c r="BB180" i="22" s="1"/>
  <c r="AP180" i="22"/>
  <c r="BA180" i="22" s="1"/>
  <c r="AO180" i="22"/>
  <c r="AZ180" i="22" s="1"/>
  <c r="AW179" i="22"/>
  <c r="BH179" i="22" s="1"/>
  <c r="AV179" i="22"/>
  <c r="BG179" i="22" s="1"/>
  <c r="AU179" i="22"/>
  <c r="BF179" i="22" s="1"/>
  <c r="AT179" i="22"/>
  <c r="BE179" i="22" s="1"/>
  <c r="AS179" i="22"/>
  <c r="BD179" i="22" s="1"/>
  <c r="AR179" i="22"/>
  <c r="BC179" i="22" s="1"/>
  <c r="AQ179" i="22"/>
  <c r="BB179" i="22" s="1"/>
  <c r="AP179" i="22"/>
  <c r="BA179" i="22" s="1"/>
  <c r="AO179" i="22"/>
  <c r="AZ179" i="22" s="1"/>
  <c r="AW178" i="22"/>
  <c r="BH178" i="22" s="1"/>
  <c r="AV178" i="22"/>
  <c r="BG178" i="22" s="1"/>
  <c r="AU178" i="22"/>
  <c r="BF178" i="22" s="1"/>
  <c r="AT178" i="22"/>
  <c r="BE178" i="22" s="1"/>
  <c r="AS178" i="22"/>
  <c r="BD178" i="22" s="1"/>
  <c r="AR178" i="22"/>
  <c r="BC178" i="22" s="1"/>
  <c r="AQ178" i="22"/>
  <c r="BB178" i="22" s="1"/>
  <c r="AP178" i="22"/>
  <c r="BA178" i="22" s="1"/>
  <c r="AO178" i="22"/>
  <c r="AZ178" i="22" s="1"/>
  <c r="AW177" i="22"/>
  <c r="BH177" i="22" s="1"/>
  <c r="AV177" i="22"/>
  <c r="BG177" i="22" s="1"/>
  <c r="AU177" i="22"/>
  <c r="BF177" i="22" s="1"/>
  <c r="AT177" i="22"/>
  <c r="BE177" i="22" s="1"/>
  <c r="AS177" i="22"/>
  <c r="BD177" i="22" s="1"/>
  <c r="AR177" i="22"/>
  <c r="BC177" i="22" s="1"/>
  <c r="AQ177" i="22"/>
  <c r="BB177" i="22" s="1"/>
  <c r="AP177" i="22"/>
  <c r="BA177" i="22" s="1"/>
  <c r="AO177" i="22"/>
  <c r="AZ177" i="22" s="1"/>
  <c r="AW176" i="22"/>
  <c r="BH176" i="22" s="1"/>
  <c r="AV176" i="22"/>
  <c r="BG176" i="22" s="1"/>
  <c r="AU176" i="22"/>
  <c r="BF176" i="22" s="1"/>
  <c r="AT176" i="22"/>
  <c r="BE176" i="22" s="1"/>
  <c r="AS176" i="22"/>
  <c r="BD176" i="22" s="1"/>
  <c r="AR176" i="22"/>
  <c r="BC176" i="22" s="1"/>
  <c r="AQ176" i="22"/>
  <c r="BB176" i="22" s="1"/>
  <c r="AP176" i="22"/>
  <c r="BA176" i="22" s="1"/>
  <c r="AO176" i="22"/>
  <c r="AZ176" i="22" s="1"/>
  <c r="AW175" i="22"/>
  <c r="BH175" i="22" s="1"/>
  <c r="AV175" i="22"/>
  <c r="BG175" i="22" s="1"/>
  <c r="AU175" i="22"/>
  <c r="BF175" i="22" s="1"/>
  <c r="AT175" i="22"/>
  <c r="BE175" i="22" s="1"/>
  <c r="AS175" i="22"/>
  <c r="BD175" i="22" s="1"/>
  <c r="AR175" i="22"/>
  <c r="BC175" i="22" s="1"/>
  <c r="AQ175" i="22"/>
  <c r="BB175" i="22" s="1"/>
  <c r="AP175" i="22"/>
  <c r="BA175" i="22" s="1"/>
  <c r="AO175" i="22"/>
  <c r="AZ175" i="22" s="1"/>
  <c r="AW174" i="22"/>
  <c r="BH174" i="22" s="1"/>
  <c r="AV174" i="22"/>
  <c r="BG174" i="22" s="1"/>
  <c r="AU174" i="22"/>
  <c r="BF174" i="22" s="1"/>
  <c r="AT174" i="22"/>
  <c r="BE174" i="22" s="1"/>
  <c r="AS174" i="22"/>
  <c r="BD174" i="22" s="1"/>
  <c r="AR174" i="22"/>
  <c r="BC174" i="22" s="1"/>
  <c r="AQ174" i="22"/>
  <c r="BB174" i="22" s="1"/>
  <c r="AP174" i="22"/>
  <c r="BA174" i="22" s="1"/>
  <c r="AO174" i="22"/>
  <c r="AZ174" i="22" s="1"/>
  <c r="AW173" i="22"/>
  <c r="BH173" i="22" s="1"/>
  <c r="AV173" i="22"/>
  <c r="BG173" i="22" s="1"/>
  <c r="AU173" i="22"/>
  <c r="BF173" i="22" s="1"/>
  <c r="AT173" i="22"/>
  <c r="BE173" i="22" s="1"/>
  <c r="AS173" i="22"/>
  <c r="BD173" i="22" s="1"/>
  <c r="AR173" i="22"/>
  <c r="BC173" i="22" s="1"/>
  <c r="AQ173" i="22"/>
  <c r="BB173" i="22" s="1"/>
  <c r="AP173" i="22"/>
  <c r="BA173" i="22" s="1"/>
  <c r="AO173" i="22"/>
  <c r="AZ173" i="22" s="1"/>
  <c r="AW172" i="22"/>
  <c r="BH172" i="22" s="1"/>
  <c r="AV172" i="22"/>
  <c r="BG172" i="22" s="1"/>
  <c r="AU172" i="22"/>
  <c r="BF172" i="22" s="1"/>
  <c r="AT172" i="22"/>
  <c r="BE172" i="22" s="1"/>
  <c r="AS172" i="22"/>
  <c r="BD172" i="22" s="1"/>
  <c r="AR172" i="22"/>
  <c r="BC172" i="22" s="1"/>
  <c r="AQ172" i="22"/>
  <c r="BB172" i="22" s="1"/>
  <c r="AP172" i="22"/>
  <c r="BA172" i="22" s="1"/>
  <c r="AO172" i="22"/>
  <c r="AZ172" i="22" s="1"/>
  <c r="AW171" i="22"/>
  <c r="BH171" i="22" s="1"/>
  <c r="AV171" i="22"/>
  <c r="BG171" i="22" s="1"/>
  <c r="AU171" i="22"/>
  <c r="BF171" i="22" s="1"/>
  <c r="AT171" i="22"/>
  <c r="BE171" i="22" s="1"/>
  <c r="AS171" i="22"/>
  <c r="BD171" i="22" s="1"/>
  <c r="AR171" i="22"/>
  <c r="BC171" i="22" s="1"/>
  <c r="AQ171" i="22"/>
  <c r="BB171" i="22" s="1"/>
  <c r="AP171" i="22"/>
  <c r="BA171" i="22" s="1"/>
  <c r="AO171" i="22"/>
  <c r="AZ171" i="22" s="1"/>
  <c r="AW170" i="22"/>
  <c r="BH170" i="22" s="1"/>
  <c r="AV170" i="22"/>
  <c r="BG170" i="22" s="1"/>
  <c r="AU170" i="22"/>
  <c r="BF170" i="22" s="1"/>
  <c r="AT170" i="22"/>
  <c r="BE170" i="22" s="1"/>
  <c r="AS170" i="22"/>
  <c r="BD170" i="22" s="1"/>
  <c r="AR170" i="22"/>
  <c r="BC170" i="22" s="1"/>
  <c r="AQ170" i="22"/>
  <c r="BB170" i="22" s="1"/>
  <c r="AP170" i="22"/>
  <c r="BA170" i="22" s="1"/>
  <c r="AO170" i="22"/>
  <c r="AZ170" i="22" s="1"/>
  <c r="AW169" i="22"/>
  <c r="BH169" i="22" s="1"/>
  <c r="AV169" i="22"/>
  <c r="BG169" i="22" s="1"/>
  <c r="AU169" i="22"/>
  <c r="BF169" i="22" s="1"/>
  <c r="AT169" i="22"/>
  <c r="BE169" i="22" s="1"/>
  <c r="AS169" i="22"/>
  <c r="BD169" i="22" s="1"/>
  <c r="AR169" i="22"/>
  <c r="BC169" i="22" s="1"/>
  <c r="AQ169" i="22"/>
  <c r="BB169" i="22" s="1"/>
  <c r="AP169" i="22"/>
  <c r="BA169" i="22" s="1"/>
  <c r="AO169" i="22"/>
  <c r="AZ169" i="22" s="1"/>
  <c r="AW168" i="22"/>
  <c r="BH168" i="22" s="1"/>
  <c r="AV168" i="22"/>
  <c r="BG168" i="22" s="1"/>
  <c r="AU168" i="22"/>
  <c r="BF168" i="22" s="1"/>
  <c r="AT168" i="22"/>
  <c r="BE168" i="22" s="1"/>
  <c r="AS168" i="22"/>
  <c r="BD168" i="22" s="1"/>
  <c r="AR168" i="22"/>
  <c r="BC168" i="22" s="1"/>
  <c r="AQ168" i="22"/>
  <c r="BB168" i="22" s="1"/>
  <c r="AP168" i="22"/>
  <c r="BA168" i="22" s="1"/>
  <c r="AO168" i="22"/>
  <c r="AZ168" i="22" s="1"/>
  <c r="AW167" i="22"/>
  <c r="BH167" i="22" s="1"/>
  <c r="AV167" i="22"/>
  <c r="BG167" i="22" s="1"/>
  <c r="AU167" i="22"/>
  <c r="BF167" i="22" s="1"/>
  <c r="AT167" i="22"/>
  <c r="BE167" i="22" s="1"/>
  <c r="AS167" i="22"/>
  <c r="BD167" i="22" s="1"/>
  <c r="AR167" i="22"/>
  <c r="BC167" i="22" s="1"/>
  <c r="AQ167" i="22"/>
  <c r="BB167" i="22" s="1"/>
  <c r="AP167" i="22"/>
  <c r="BA167" i="22" s="1"/>
  <c r="AO167" i="22"/>
  <c r="AZ167" i="22" s="1"/>
  <c r="AW166" i="22"/>
  <c r="BH166" i="22" s="1"/>
  <c r="AV166" i="22"/>
  <c r="BG166" i="22" s="1"/>
  <c r="AU166" i="22"/>
  <c r="BF166" i="22" s="1"/>
  <c r="AT166" i="22"/>
  <c r="BE166" i="22" s="1"/>
  <c r="AS166" i="22"/>
  <c r="BD166" i="22" s="1"/>
  <c r="AR166" i="22"/>
  <c r="BC166" i="22" s="1"/>
  <c r="AQ166" i="22"/>
  <c r="BB166" i="22" s="1"/>
  <c r="AP166" i="22"/>
  <c r="BA166" i="22" s="1"/>
  <c r="AO166" i="22"/>
  <c r="AZ166" i="22" s="1"/>
  <c r="AW165" i="22"/>
  <c r="BH165" i="22" s="1"/>
  <c r="AV165" i="22"/>
  <c r="BG165" i="22" s="1"/>
  <c r="AU165" i="22"/>
  <c r="BF165" i="22" s="1"/>
  <c r="AT165" i="22"/>
  <c r="BE165" i="22" s="1"/>
  <c r="AS165" i="22"/>
  <c r="BD165" i="22" s="1"/>
  <c r="AR165" i="22"/>
  <c r="BC165" i="22" s="1"/>
  <c r="AQ165" i="22"/>
  <c r="BB165" i="22" s="1"/>
  <c r="AP165" i="22"/>
  <c r="BA165" i="22" s="1"/>
  <c r="AO165" i="22"/>
  <c r="AZ165" i="22" s="1"/>
  <c r="AW164" i="22"/>
  <c r="BH164" i="22" s="1"/>
  <c r="AV164" i="22"/>
  <c r="BG164" i="22" s="1"/>
  <c r="AU164" i="22"/>
  <c r="BF164" i="22" s="1"/>
  <c r="AT164" i="22"/>
  <c r="BE164" i="22" s="1"/>
  <c r="AS164" i="22"/>
  <c r="BD164" i="22" s="1"/>
  <c r="AR164" i="22"/>
  <c r="BC164" i="22" s="1"/>
  <c r="AQ164" i="22"/>
  <c r="BB164" i="22" s="1"/>
  <c r="AP164" i="22"/>
  <c r="BA164" i="22" s="1"/>
  <c r="AO164" i="22"/>
  <c r="AZ164" i="22" s="1"/>
  <c r="AW163" i="22"/>
  <c r="BH163" i="22" s="1"/>
  <c r="AV163" i="22"/>
  <c r="BG163" i="22" s="1"/>
  <c r="AU163" i="22"/>
  <c r="BF163" i="22" s="1"/>
  <c r="AT163" i="22"/>
  <c r="BE163" i="22" s="1"/>
  <c r="AS163" i="22"/>
  <c r="BD163" i="22" s="1"/>
  <c r="AR163" i="22"/>
  <c r="BC163" i="22" s="1"/>
  <c r="AQ163" i="22"/>
  <c r="BB163" i="22" s="1"/>
  <c r="AP163" i="22"/>
  <c r="BA163" i="22" s="1"/>
  <c r="AO163" i="22"/>
  <c r="AZ163" i="22" s="1"/>
  <c r="AW162" i="22"/>
  <c r="BH162" i="22" s="1"/>
  <c r="AV162" i="22"/>
  <c r="BG162" i="22" s="1"/>
  <c r="AU162" i="22"/>
  <c r="BF162" i="22" s="1"/>
  <c r="AT162" i="22"/>
  <c r="BE162" i="22" s="1"/>
  <c r="AS162" i="22"/>
  <c r="BD162" i="22" s="1"/>
  <c r="AR162" i="22"/>
  <c r="BC162" i="22" s="1"/>
  <c r="AQ162" i="22"/>
  <c r="BB162" i="22" s="1"/>
  <c r="AP162" i="22"/>
  <c r="BA162" i="22" s="1"/>
  <c r="AO162" i="22"/>
  <c r="AZ162" i="22" s="1"/>
  <c r="AW161" i="22"/>
  <c r="BH161" i="22" s="1"/>
  <c r="AV161" i="22"/>
  <c r="BG161" i="22" s="1"/>
  <c r="AU161" i="22"/>
  <c r="BF161" i="22" s="1"/>
  <c r="AT161" i="22"/>
  <c r="BE161" i="22" s="1"/>
  <c r="AS161" i="22"/>
  <c r="BD161" i="22" s="1"/>
  <c r="AR161" i="22"/>
  <c r="BC161" i="22" s="1"/>
  <c r="AQ161" i="22"/>
  <c r="BB161" i="22" s="1"/>
  <c r="AP161" i="22"/>
  <c r="BA161" i="22" s="1"/>
  <c r="AO161" i="22"/>
  <c r="AZ161" i="22" s="1"/>
  <c r="AW160" i="22"/>
  <c r="BH160" i="22" s="1"/>
  <c r="AV160" i="22"/>
  <c r="BG160" i="22" s="1"/>
  <c r="AU160" i="22"/>
  <c r="BF160" i="22" s="1"/>
  <c r="AT160" i="22"/>
  <c r="BE160" i="22" s="1"/>
  <c r="AS160" i="22"/>
  <c r="BD160" i="22" s="1"/>
  <c r="AR160" i="22"/>
  <c r="BC160" i="22" s="1"/>
  <c r="AQ160" i="22"/>
  <c r="BB160" i="22" s="1"/>
  <c r="AP160" i="22"/>
  <c r="BA160" i="22" s="1"/>
  <c r="AO160" i="22"/>
  <c r="AZ160" i="22" s="1"/>
  <c r="AW159" i="22"/>
  <c r="BH159" i="22" s="1"/>
  <c r="AV159" i="22"/>
  <c r="BG159" i="22" s="1"/>
  <c r="AU159" i="22"/>
  <c r="BF159" i="22" s="1"/>
  <c r="AT159" i="22"/>
  <c r="BE159" i="22" s="1"/>
  <c r="AS159" i="22"/>
  <c r="BD159" i="22" s="1"/>
  <c r="AR159" i="22"/>
  <c r="BC159" i="22" s="1"/>
  <c r="AQ159" i="22"/>
  <c r="BB159" i="22" s="1"/>
  <c r="AP159" i="22"/>
  <c r="BA159" i="22" s="1"/>
  <c r="AO159" i="22"/>
  <c r="AZ159" i="22" s="1"/>
  <c r="AW158" i="22"/>
  <c r="BH158" i="22" s="1"/>
  <c r="AV158" i="22"/>
  <c r="BG158" i="22" s="1"/>
  <c r="AU158" i="22"/>
  <c r="BF158" i="22" s="1"/>
  <c r="AT158" i="22"/>
  <c r="BE158" i="22" s="1"/>
  <c r="AS158" i="22"/>
  <c r="BD158" i="22" s="1"/>
  <c r="AR158" i="22"/>
  <c r="BC158" i="22" s="1"/>
  <c r="AQ158" i="22"/>
  <c r="BB158" i="22" s="1"/>
  <c r="AP158" i="22"/>
  <c r="BA158" i="22" s="1"/>
  <c r="AO158" i="22"/>
  <c r="AZ158" i="22" s="1"/>
  <c r="AW157" i="22"/>
  <c r="BH157" i="22" s="1"/>
  <c r="AV157" i="22"/>
  <c r="BG157" i="22" s="1"/>
  <c r="AU157" i="22"/>
  <c r="BF157" i="22" s="1"/>
  <c r="AT157" i="22"/>
  <c r="BE157" i="22" s="1"/>
  <c r="AS157" i="22"/>
  <c r="BD157" i="22" s="1"/>
  <c r="AR157" i="22"/>
  <c r="BC157" i="22" s="1"/>
  <c r="AQ157" i="22"/>
  <c r="BB157" i="22" s="1"/>
  <c r="AP157" i="22"/>
  <c r="BA157" i="22" s="1"/>
  <c r="AO157" i="22"/>
  <c r="AZ157" i="22" s="1"/>
  <c r="AW156" i="22"/>
  <c r="BH156" i="22" s="1"/>
  <c r="AV156" i="22"/>
  <c r="BG156" i="22" s="1"/>
  <c r="AU156" i="22"/>
  <c r="BF156" i="22" s="1"/>
  <c r="AT156" i="22"/>
  <c r="BE156" i="22" s="1"/>
  <c r="AS156" i="22"/>
  <c r="BD156" i="22" s="1"/>
  <c r="AR156" i="22"/>
  <c r="BC156" i="22" s="1"/>
  <c r="AQ156" i="22"/>
  <c r="BB156" i="22" s="1"/>
  <c r="AP156" i="22"/>
  <c r="BA156" i="22" s="1"/>
  <c r="AO156" i="22"/>
  <c r="AZ156" i="22" s="1"/>
  <c r="AW155" i="22"/>
  <c r="BH155" i="22" s="1"/>
  <c r="AV155" i="22"/>
  <c r="BG155" i="22" s="1"/>
  <c r="AU155" i="22"/>
  <c r="BF155" i="22" s="1"/>
  <c r="AT155" i="22"/>
  <c r="BE155" i="22" s="1"/>
  <c r="AS155" i="22"/>
  <c r="BD155" i="22" s="1"/>
  <c r="AR155" i="22"/>
  <c r="BC155" i="22" s="1"/>
  <c r="AQ155" i="22"/>
  <c r="BB155" i="22" s="1"/>
  <c r="AP155" i="22"/>
  <c r="BA155" i="22" s="1"/>
  <c r="AO155" i="22"/>
  <c r="AZ155" i="22" s="1"/>
  <c r="AW154" i="22"/>
  <c r="BH154" i="22" s="1"/>
  <c r="AV154" i="22"/>
  <c r="BG154" i="22" s="1"/>
  <c r="AU154" i="22"/>
  <c r="BF154" i="22" s="1"/>
  <c r="AT154" i="22"/>
  <c r="BE154" i="22" s="1"/>
  <c r="AS154" i="22"/>
  <c r="BD154" i="22" s="1"/>
  <c r="AR154" i="22"/>
  <c r="BC154" i="22" s="1"/>
  <c r="AQ154" i="22"/>
  <c r="BB154" i="22" s="1"/>
  <c r="AP154" i="22"/>
  <c r="BA154" i="22" s="1"/>
  <c r="AO154" i="22"/>
  <c r="AZ154" i="22" s="1"/>
  <c r="AW152" i="22"/>
  <c r="BH152" i="22" s="1"/>
  <c r="AW151" i="22"/>
  <c r="BH151" i="22" s="1"/>
  <c r="AW150" i="22"/>
  <c r="BH150" i="22" s="1"/>
  <c r="AW149" i="22"/>
  <c r="BH149" i="22" s="1"/>
  <c r="AW148" i="22"/>
  <c r="BH148" i="22" s="1"/>
  <c r="AW147" i="22"/>
  <c r="BH147" i="22" s="1"/>
  <c r="AW146" i="22"/>
  <c r="BH146" i="22" s="1"/>
  <c r="AW145" i="22"/>
  <c r="BH145" i="22" s="1"/>
  <c r="AW144" i="22"/>
  <c r="BH144" i="22" s="1"/>
  <c r="AW143" i="22"/>
  <c r="BH143" i="22" s="1"/>
  <c r="AW142" i="22"/>
  <c r="BH142" i="22" s="1"/>
  <c r="AW141" i="22"/>
  <c r="BH141" i="22" s="1"/>
  <c r="AW140" i="22"/>
  <c r="BH140" i="22" s="1"/>
  <c r="AW139" i="22"/>
  <c r="BH139" i="22" s="1"/>
  <c r="AW138" i="22"/>
  <c r="BH138" i="22" s="1"/>
  <c r="AW137" i="22"/>
  <c r="BH137" i="22" s="1"/>
  <c r="AW136" i="22"/>
  <c r="BH136" i="22" s="1"/>
  <c r="AW135" i="22"/>
  <c r="BH135" i="22" s="1"/>
  <c r="AW134" i="22"/>
  <c r="BH134" i="22" s="1"/>
  <c r="AW133" i="22"/>
  <c r="BH133" i="22" s="1"/>
  <c r="AW132" i="22"/>
  <c r="BH132" i="22" s="1"/>
  <c r="AW131" i="22"/>
  <c r="BH131" i="22" s="1"/>
  <c r="AW130" i="22"/>
  <c r="BH130" i="22" s="1"/>
  <c r="AW129" i="22"/>
  <c r="BH129" i="22" s="1"/>
  <c r="AW128" i="22"/>
  <c r="BH128" i="22" s="1"/>
  <c r="AW127" i="22"/>
  <c r="BH127" i="22" s="1"/>
  <c r="AW126" i="22"/>
  <c r="BH126" i="22" s="1"/>
  <c r="AW125" i="22"/>
  <c r="BH125" i="22" s="1"/>
  <c r="AW124" i="22"/>
  <c r="BH124" i="22" s="1"/>
  <c r="AW123" i="22"/>
  <c r="BH123" i="22" s="1"/>
  <c r="AW122" i="22"/>
  <c r="BH122" i="22" s="1"/>
  <c r="AW121" i="22"/>
  <c r="BH121" i="22" s="1"/>
  <c r="AW120" i="22"/>
  <c r="BH120" i="22" s="1"/>
  <c r="AW119" i="22"/>
  <c r="BH119" i="22" s="1"/>
  <c r="AW118" i="22"/>
  <c r="BH118" i="22" s="1"/>
  <c r="AW117" i="22"/>
  <c r="BH117" i="22" s="1"/>
  <c r="AW116" i="22"/>
  <c r="BH116" i="22" s="1"/>
  <c r="AW115" i="22"/>
  <c r="BH115" i="22" s="1"/>
  <c r="AW114" i="22"/>
  <c r="BH114" i="22" s="1"/>
  <c r="AW113" i="22"/>
  <c r="BH113" i="22" s="1"/>
  <c r="AV152" i="22"/>
  <c r="BG152" i="22" s="1"/>
  <c r="AV151" i="22"/>
  <c r="BG151" i="22" s="1"/>
  <c r="AV150" i="22"/>
  <c r="BG150" i="22" s="1"/>
  <c r="AV149" i="22"/>
  <c r="BG149" i="22" s="1"/>
  <c r="AV148" i="22"/>
  <c r="BG148" i="22" s="1"/>
  <c r="AV147" i="22"/>
  <c r="BG147" i="22" s="1"/>
  <c r="AV146" i="22"/>
  <c r="BG146" i="22" s="1"/>
  <c r="AV145" i="22"/>
  <c r="BG145" i="22" s="1"/>
  <c r="AV144" i="22"/>
  <c r="BG144" i="22" s="1"/>
  <c r="AV143" i="22"/>
  <c r="BG143" i="22" s="1"/>
  <c r="AV142" i="22"/>
  <c r="BG142" i="22" s="1"/>
  <c r="AV141" i="22"/>
  <c r="BG141" i="22" s="1"/>
  <c r="AV140" i="22"/>
  <c r="BG140" i="22" s="1"/>
  <c r="AV139" i="22"/>
  <c r="BG139" i="22" s="1"/>
  <c r="AV138" i="22"/>
  <c r="BG138" i="22" s="1"/>
  <c r="AV137" i="22"/>
  <c r="BG137" i="22" s="1"/>
  <c r="AV136" i="22"/>
  <c r="BG136" i="22" s="1"/>
  <c r="AV135" i="22"/>
  <c r="BG135" i="22" s="1"/>
  <c r="AV134" i="22"/>
  <c r="BG134" i="22" s="1"/>
  <c r="AV133" i="22"/>
  <c r="BG133" i="22" s="1"/>
  <c r="AV132" i="22"/>
  <c r="BG132" i="22" s="1"/>
  <c r="AV131" i="22"/>
  <c r="BG131" i="22" s="1"/>
  <c r="AV130" i="22"/>
  <c r="BG130" i="22" s="1"/>
  <c r="AV129" i="22"/>
  <c r="BG129" i="22" s="1"/>
  <c r="AV128" i="22"/>
  <c r="BG128" i="22" s="1"/>
  <c r="AV127" i="22"/>
  <c r="BG127" i="22" s="1"/>
  <c r="AV126" i="22"/>
  <c r="BG126" i="22" s="1"/>
  <c r="AV125" i="22"/>
  <c r="BG125" i="22" s="1"/>
  <c r="AV124" i="22"/>
  <c r="BG124" i="22" s="1"/>
  <c r="AV123" i="22"/>
  <c r="BG123" i="22" s="1"/>
  <c r="AV122" i="22"/>
  <c r="BG122" i="22" s="1"/>
  <c r="AV121" i="22"/>
  <c r="BG121" i="22" s="1"/>
  <c r="AV120" i="22"/>
  <c r="BG120" i="22" s="1"/>
  <c r="AV119" i="22"/>
  <c r="BG119" i="22" s="1"/>
  <c r="AV118" i="22"/>
  <c r="BG118" i="22" s="1"/>
  <c r="AV117" i="22"/>
  <c r="BG117" i="22" s="1"/>
  <c r="AV116" i="22"/>
  <c r="BG116" i="22" s="1"/>
  <c r="AV115" i="22"/>
  <c r="BG115" i="22" s="1"/>
  <c r="AV114" i="22"/>
  <c r="BG114" i="22" s="1"/>
  <c r="AV113" i="22"/>
  <c r="BG113" i="22" s="1"/>
  <c r="AU152" i="22"/>
  <c r="BF152" i="22" s="1"/>
  <c r="AU151" i="22"/>
  <c r="BF151" i="22" s="1"/>
  <c r="AU150" i="22"/>
  <c r="BF150" i="22" s="1"/>
  <c r="AU149" i="22"/>
  <c r="BF149" i="22" s="1"/>
  <c r="AU148" i="22"/>
  <c r="BF148" i="22" s="1"/>
  <c r="AU147" i="22"/>
  <c r="BF147" i="22" s="1"/>
  <c r="AU146" i="22"/>
  <c r="BF146" i="22" s="1"/>
  <c r="AU145" i="22"/>
  <c r="BF145" i="22" s="1"/>
  <c r="AU144" i="22"/>
  <c r="BF144" i="22" s="1"/>
  <c r="AU143" i="22"/>
  <c r="BF143" i="22" s="1"/>
  <c r="AU142" i="22"/>
  <c r="BF142" i="22" s="1"/>
  <c r="AU141" i="22"/>
  <c r="BF141" i="22" s="1"/>
  <c r="AU140" i="22"/>
  <c r="BF140" i="22" s="1"/>
  <c r="AU139" i="22"/>
  <c r="BF139" i="22" s="1"/>
  <c r="AU138" i="22"/>
  <c r="BF138" i="22" s="1"/>
  <c r="AU137" i="22"/>
  <c r="BF137" i="22" s="1"/>
  <c r="AU136" i="22"/>
  <c r="BF136" i="22" s="1"/>
  <c r="AU135" i="22"/>
  <c r="BF135" i="22" s="1"/>
  <c r="AU134" i="22"/>
  <c r="BF134" i="22" s="1"/>
  <c r="AU133" i="22"/>
  <c r="BF133" i="22" s="1"/>
  <c r="AU132" i="22"/>
  <c r="BF132" i="22" s="1"/>
  <c r="AU131" i="22"/>
  <c r="BF131" i="22" s="1"/>
  <c r="AU130" i="22"/>
  <c r="BF130" i="22" s="1"/>
  <c r="AU129" i="22"/>
  <c r="BF129" i="22" s="1"/>
  <c r="AU128" i="22"/>
  <c r="BF128" i="22" s="1"/>
  <c r="AU127" i="22"/>
  <c r="BF127" i="22" s="1"/>
  <c r="AU126" i="22"/>
  <c r="BF126" i="22" s="1"/>
  <c r="AU125" i="22"/>
  <c r="BF125" i="22" s="1"/>
  <c r="AU124" i="22"/>
  <c r="BF124" i="22" s="1"/>
  <c r="AU123" i="22"/>
  <c r="BF123" i="22" s="1"/>
  <c r="AU122" i="22"/>
  <c r="BF122" i="22" s="1"/>
  <c r="AU121" i="22"/>
  <c r="BF121" i="22" s="1"/>
  <c r="AU120" i="22"/>
  <c r="BF120" i="22" s="1"/>
  <c r="AU119" i="22"/>
  <c r="BF119" i="22" s="1"/>
  <c r="AU118" i="22"/>
  <c r="BF118" i="22" s="1"/>
  <c r="AU117" i="22"/>
  <c r="BF117" i="22" s="1"/>
  <c r="AU116" i="22"/>
  <c r="BF116" i="22" s="1"/>
  <c r="AU115" i="22"/>
  <c r="BF115" i="22" s="1"/>
  <c r="AU114" i="22"/>
  <c r="BF114" i="22" s="1"/>
  <c r="AU113" i="22"/>
  <c r="BF113" i="22" s="1"/>
  <c r="AT152" i="22"/>
  <c r="BE152" i="22" s="1"/>
  <c r="AT151" i="22"/>
  <c r="BE151" i="22" s="1"/>
  <c r="AT150" i="22"/>
  <c r="BE150" i="22" s="1"/>
  <c r="AT149" i="22"/>
  <c r="BE149" i="22" s="1"/>
  <c r="AT148" i="22"/>
  <c r="BE148" i="22" s="1"/>
  <c r="AT147" i="22"/>
  <c r="BE147" i="22" s="1"/>
  <c r="AT146" i="22"/>
  <c r="BE146" i="22" s="1"/>
  <c r="AT145" i="22"/>
  <c r="BE145" i="22" s="1"/>
  <c r="AT144" i="22"/>
  <c r="BE144" i="22" s="1"/>
  <c r="AT143" i="22"/>
  <c r="BE143" i="22" s="1"/>
  <c r="AT142" i="22"/>
  <c r="BE142" i="22" s="1"/>
  <c r="AT141" i="22"/>
  <c r="BE141" i="22" s="1"/>
  <c r="AT140" i="22"/>
  <c r="BE140" i="22" s="1"/>
  <c r="AT139" i="22"/>
  <c r="BE139" i="22" s="1"/>
  <c r="AT138" i="22"/>
  <c r="BE138" i="22" s="1"/>
  <c r="AT137" i="22"/>
  <c r="BE137" i="22" s="1"/>
  <c r="AT136" i="22"/>
  <c r="BE136" i="22" s="1"/>
  <c r="AT135" i="22"/>
  <c r="BE135" i="22" s="1"/>
  <c r="AT134" i="22"/>
  <c r="BE134" i="22" s="1"/>
  <c r="AT133" i="22"/>
  <c r="BE133" i="22" s="1"/>
  <c r="AT132" i="22"/>
  <c r="BE132" i="22" s="1"/>
  <c r="AT131" i="22"/>
  <c r="BE131" i="22" s="1"/>
  <c r="AT130" i="22"/>
  <c r="BE130" i="22" s="1"/>
  <c r="AT129" i="22"/>
  <c r="BE129" i="22" s="1"/>
  <c r="AT128" i="22"/>
  <c r="BE128" i="22" s="1"/>
  <c r="AT127" i="22"/>
  <c r="BE127" i="22" s="1"/>
  <c r="AT126" i="22"/>
  <c r="BE126" i="22" s="1"/>
  <c r="AT125" i="22"/>
  <c r="BE125" i="22" s="1"/>
  <c r="AT124" i="22"/>
  <c r="BE124" i="22" s="1"/>
  <c r="AT123" i="22"/>
  <c r="BE123" i="22" s="1"/>
  <c r="AT122" i="22"/>
  <c r="BE122" i="22" s="1"/>
  <c r="AT121" i="22"/>
  <c r="BE121" i="22" s="1"/>
  <c r="AT120" i="22"/>
  <c r="BE120" i="22" s="1"/>
  <c r="AT119" i="22"/>
  <c r="BE119" i="22" s="1"/>
  <c r="AT118" i="22"/>
  <c r="BE118" i="22" s="1"/>
  <c r="AT117" i="22"/>
  <c r="BE117" i="22" s="1"/>
  <c r="AT116" i="22"/>
  <c r="BE116" i="22" s="1"/>
  <c r="AT115" i="22"/>
  <c r="BE115" i="22" s="1"/>
  <c r="AT114" i="22"/>
  <c r="BE114" i="22" s="1"/>
  <c r="AT113" i="22"/>
  <c r="BE113" i="22" s="1"/>
  <c r="AS152" i="22"/>
  <c r="BD152" i="22" s="1"/>
  <c r="AS151" i="22"/>
  <c r="BD151" i="22" s="1"/>
  <c r="AS150" i="22"/>
  <c r="BD150" i="22" s="1"/>
  <c r="AS149" i="22"/>
  <c r="BD149" i="22" s="1"/>
  <c r="AS148" i="22"/>
  <c r="BD148" i="22" s="1"/>
  <c r="AS147" i="22"/>
  <c r="BD147" i="22" s="1"/>
  <c r="AS146" i="22"/>
  <c r="BD146" i="22" s="1"/>
  <c r="AS145" i="22"/>
  <c r="BD145" i="22" s="1"/>
  <c r="AS144" i="22"/>
  <c r="BD144" i="22" s="1"/>
  <c r="AS143" i="22"/>
  <c r="BD143" i="22" s="1"/>
  <c r="AS142" i="22"/>
  <c r="BD142" i="22" s="1"/>
  <c r="AS141" i="22"/>
  <c r="BD141" i="22" s="1"/>
  <c r="AS140" i="22"/>
  <c r="BD140" i="22" s="1"/>
  <c r="AS139" i="22"/>
  <c r="BD139" i="22" s="1"/>
  <c r="AS138" i="22"/>
  <c r="BD138" i="22" s="1"/>
  <c r="AS137" i="22"/>
  <c r="BD137" i="22" s="1"/>
  <c r="AS136" i="22"/>
  <c r="BD136" i="22" s="1"/>
  <c r="AS135" i="22"/>
  <c r="BD135" i="22" s="1"/>
  <c r="AS134" i="22"/>
  <c r="BD134" i="22" s="1"/>
  <c r="AS133" i="22"/>
  <c r="BD133" i="22" s="1"/>
  <c r="AS132" i="22"/>
  <c r="BD132" i="22" s="1"/>
  <c r="AS131" i="22"/>
  <c r="BD131" i="22" s="1"/>
  <c r="AS130" i="22"/>
  <c r="BD130" i="22" s="1"/>
  <c r="AS129" i="22"/>
  <c r="BD129" i="22" s="1"/>
  <c r="AS128" i="22"/>
  <c r="BD128" i="22" s="1"/>
  <c r="AS127" i="22"/>
  <c r="BD127" i="22" s="1"/>
  <c r="AS126" i="22"/>
  <c r="BD126" i="22" s="1"/>
  <c r="AS125" i="22"/>
  <c r="BD125" i="22" s="1"/>
  <c r="AS124" i="22"/>
  <c r="BD124" i="22" s="1"/>
  <c r="AS123" i="22"/>
  <c r="BD123" i="22" s="1"/>
  <c r="AS122" i="22"/>
  <c r="BD122" i="22" s="1"/>
  <c r="AS121" i="22"/>
  <c r="BD121" i="22" s="1"/>
  <c r="AS120" i="22"/>
  <c r="BD120" i="22" s="1"/>
  <c r="AS119" i="22"/>
  <c r="BD119" i="22" s="1"/>
  <c r="AS118" i="22"/>
  <c r="BD118" i="22" s="1"/>
  <c r="AS117" i="22"/>
  <c r="BD117" i="22" s="1"/>
  <c r="AS116" i="22"/>
  <c r="BD116" i="22" s="1"/>
  <c r="AS115" i="22"/>
  <c r="BD115" i="22" s="1"/>
  <c r="AS114" i="22"/>
  <c r="BD114" i="22" s="1"/>
  <c r="AS113" i="22"/>
  <c r="BD113" i="22" s="1"/>
  <c r="AR152" i="22"/>
  <c r="BC152" i="22" s="1"/>
  <c r="AR151" i="22"/>
  <c r="BC151" i="22" s="1"/>
  <c r="AR150" i="22"/>
  <c r="BC150" i="22" s="1"/>
  <c r="AR149" i="22"/>
  <c r="BC149" i="22" s="1"/>
  <c r="AR148" i="22"/>
  <c r="BC148" i="22" s="1"/>
  <c r="AR147" i="22"/>
  <c r="BC147" i="22" s="1"/>
  <c r="AR146" i="22"/>
  <c r="BC146" i="22" s="1"/>
  <c r="AR145" i="22"/>
  <c r="BC145" i="22" s="1"/>
  <c r="AR144" i="22"/>
  <c r="BC144" i="22" s="1"/>
  <c r="AR143" i="22"/>
  <c r="BC143" i="22" s="1"/>
  <c r="AR142" i="22"/>
  <c r="BC142" i="22" s="1"/>
  <c r="AR141" i="22"/>
  <c r="BC141" i="22" s="1"/>
  <c r="AR140" i="22"/>
  <c r="BC140" i="22" s="1"/>
  <c r="AR139" i="22"/>
  <c r="BC139" i="22" s="1"/>
  <c r="AR138" i="22"/>
  <c r="BC138" i="22" s="1"/>
  <c r="AR137" i="22"/>
  <c r="BC137" i="22" s="1"/>
  <c r="AR136" i="22"/>
  <c r="BC136" i="22" s="1"/>
  <c r="AR135" i="22"/>
  <c r="BC135" i="22" s="1"/>
  <c r="AR134" i="22"/>
  <c r="BC134" i="22" s="1"/>
  <c r="AR133" i="22"/>
  <c r="BC133" i="22" s="1"/>
  <c r="AR132" i="22"/>
  <c r="BC132" i="22" s="1"/>
  <c r="AR131" i="22"/>
  <c r="BC131" i="22" s="1"/>
  <c r="AR130" i="22"/>
  <c r="BC130" i="22" s="1"/>
  <c r="AR129" i="22"/>
  <c r="BC129" i="22" s="1"/>
  <c r="AR128" i="22"/>
  <c r="BC128" i="22" s="1"/>
  <c r="AR127" i="22"/>
  <c r="BC127" i="22" s="1"/>
  <c r="AR126" i="22"/>
  <c r="BC126" i="22" s="1"/>
  <c r="AR125" i="22"/>
  <c r="BC125" i="22" s="1"/>
  <c r="AR124" i="22"/>
  <c r="BC124" i="22" s="1"/>
  <c r="AR123" i="22"/>
  <c r="BC123" i="22" s="1"/>
  <c r="AR122" i="22"/>
  <c r="BC122" i="22" s="1"/>
  <c r="AR121" i="22"/>
  <c r="BC121" i="22" s="1"/>
  <c r="AR120" i="22"/>
  <c r="BC120" i="22" s="1"/>
  <c r="AR119" i="22"/>
  <c r="BC119" i="22" s="1"/>
  <c r="AR118" i="22"/>
  <c r="BC118" i="22" s="1"/>
  <c r="AR117" i="22"/>
  <c r="BC117" i="22" s="1"/>
  <c r="AR116" i="22"/>
  <c r="BC116" i="22" s="1"/>
  <c r="AR115" i="22"/>
  <c r="BC115" i="22" s="1"/>
  <c r="AR114" i="22"/>
  <c r="BC114" i="22" s="1"/>
  <c r="AR113" i="22"/>
  <c r="BC113" i="22" s="1"/>
  <c r="AQ152" i="22"/>
  <c r="BB152" i="22" s="1"/>
  <c r="AQ151" i="22"/>
  <c r="BB151" i="22" s="1"/>
  <c r="AQ150" i="22"/>
  <c r="BB150" i="22" s="1"/>
  <c r="AQ149" i="22"/>
  <c r="BB149" i="22" s="1"/>
  <c r="AQ148" i="22"/>
  <c r="BB148" i="22" s="1"/>
  <c r="AQ147" i="22"/>
  <c r="BB147" i="22" s="1"/>
  <c r="AQ146" i="22"/>
  <c r="BB146" i="22" s="1"/>
  <c r="AQ145" i="22"/>
  <c r="BB145" i="22" s="1"/>
  <c r="AQ144" i="22"/>
  <c r="BB144" i="22" s="1"/>
  <c r="AQ143" i="22"/>
  <c r="BB143" i="22" s="1"/>
  <c r="AQ142" i="22"/>
  <c r="BB142" i="22" s="1"/>
  <c r="AQ141" i="22"/>
  <c r="BB141" i="22" s="1"/>
  <c r="AQ140" i="22"/>
  <c r="BB140" i="22" s="1"/>
  <c r="AQ139" i="22"/>
  <c r="BB139" i="22" s="1"/>
  <c r="AQ138" i="22"/>
  <c r="BB138" i="22" s="1"/>
  <c r="AQ137" i="22"/>
  <c r="BB137" i="22" s="1"/>
  <c r="AQ136" i="22"/>
  <c r="BB136" i="22" s="1"/>
  <c r="AQ135" i="22"/>
  <c r="BB135" i="22" s="1"/>
  <c r="AQ134" i="22"/>
  <c r="BB134" i="22" s="1"/>
  <c r="AQ133" i="22"/>
  <c r="BB133" i="22" s="1"/>
  <c r="AQ132" i="22"/>
  <c r="BB132" i="22" s="1"/>
  <c r="AQ131" i="22"/>
  <c r="BB131" i="22" s="1"/>
  <c r="AQ130" i="22"/>
  <c r="BB130" i="22" s="1"/>
  <c r="AQ129" i="22"/>
  <c r="BB129" i="22" s="1"/>
  <c r="AQ128" i="22"/>
  <c r="BB128" i="22" s="1"/>
  <c r="AQ127" i="22"/>
  <c r="BB127" i="22" s="1"/>
  <c r="AQ126" i="22"/>
  <c r="BB126" i="22" s="1"/>
  <c r="AQ125" i="22"/>
  <c r="BB125" i="22" s="1"/>
  <c r="AQ124" i="22"/>
  <c r="BB124" i="22" s="1"/>
  <c r="AQ123" i="22"/>
  <c r="BB123" i="22" s="1"/>
  <c r="AQ122" i="22"/>
  <c r="BB122" i="22" s="1"/>
  <c r="AQ121" i="22"/>
  <c r="BB121" i="22" s="1"/>
  <c r="AQ120" i="22"/>
  <c r="BB120" i="22" s="1"/>
  <c r="AQ119" i="22"/>
  <c r="BB119" i="22" s="1"/>
  <c r="AQ118" i="22"/>
  <c r="BB118" i="22" s="1"/>
  <c r="AQ117" i="22"/>
  <c r="BB117" i="22" s="1"/>
  <c r="AQ116" i="22"/>
  <c r="BB116" i="22" s="1"/>
  <c r="AQ115" i="22"/>
  <c r="BB115" i="22" s="1"/>
  <c r="AQ114" i="22"/>
  <c r="BB114" i="22" s="1"/>
  <c r="AQ113" i="22"/>
  <c r="BB113" i="22" s="1"/>
  <c r="AP152" i="22"/>
  <c r="BA152" i="22" s="1"/>
  <c r="AP151" i="22"/>
  <c r="BA151" i="22" s="1"/>
  <c r="AP150" i="22"/>
  <c r="BA150" i="22" s="1"/>
  <c r="AP149" i="22"/>
  <c r="BA149" i="22" s="1"/>
  <c r="AP148" i="22"/>
  <c r="BA148" i="22" s="1"/>
  <c r="AP147" i="22"/>
  <c r="BA147" i="22" s="1"/>
  <c r="AP146" i="22"/>
  <c r="BA146" i="22" s="1"/>
  <c r="AP145" i="22"/>
  <c r="BA145" i="22" s="1"/>
  <c r="AP144" i="22"/>
  <c r="BA144" i="22" s="1"/>
  <c r="AP143" i="22"/>
  <c r="BA143" i="22" s="1"/>
  <c r="AP142" i="22"/>
  <c r="BA142" i="22" s="1"/>
  <c r="AP141" i="22"/>
  <c r="BA141" i="22" s="1"/>
  <c r="AP140" i="22"/>
  <c r="BA140" i="22" s="1"/>
  <c r="AP139" i="22"/>
  <c r="BA139" i="22" s="1"/>
  <c r="AP138" i="22"/>
  <c r="BA138" i="22" s="1"/>
  <c r="AP137" i="22"/>
  <c r="BA137" i="22" s="1"/>
  <c r="AP136" i="22"/>
  <c r="BA136" i="22" s="1"/>
  <c r="AP135" i="22"/>
  <c r="BA135" i="22" s="1"/>
  <c r="AP134" i="22"/>
  <c r="BA134" i="22" s="1"/>
  <c r="AP133" i="22"/>
  <c r="BA133" i="22" s="1"/>
  <c r="AP132" i="22"/>
  <c r="BA132" i="22" s="1"/>
  <c r="AP131" i="22"/>
  <c r="BA131" i="22" s="1"/>
  <c r="AP130" i="22"/>
  <c r="BA130" i="22" s="1"/>
  <c r="AP129" i="22"/>
  <c r="BA129" i="22" s="1"/>
  <c r="AP128" i="22"/>
  <c r="BA128" i="22" s="1"/>
  <c r="AP127" i="22"/>
  <c r="BA127" i="22" s="1"/>
  <c r="AP126" i="22"/>
  <c r="BA126" i="22" s="1"/>
  <c r="AP125" i="22"/>
  <c r="BA125" i="22" s="1"/>
  <c r="AP124" i="22"/>
  <c r="BA124" i="22" s="1"/>
  <c r="AP123" i="22"/>
  <c r="BA123" i="22" s="1"/>
  <c r="AP122" i="22"/>
  <c r="BA122" i="22" s="1"/>
  <c r="AP121" i="22"/>
  <c r="BA121" i="22" s="1"/>
  <c r="AP120" i="22"/>
  <c r="BA120" i="22" s="1"/>
  <c r="AP119" i="22"/>
  <c r="BA119" i="22" s="1"/>
  <c r="AP118" i="22"/>
  <c r="BA118" i="22" s="1"/>
  <c r="AP117" i="22"/>
  <c r="BA117" i="22" s="1"/>
  <c r="AP116" i="22"/>
  <c r="BA116" i="22" s="1"/>
  <c r="AP115" i="22"/>
  <c r="BA115" i="22" s="1"/>
  <c r="AP114" i="22"/>
  <c r="BA114" i="22" s="1"/>
  <c r="AP113" i="22"/>
  <c r="BA113" i="22" s="1"/>
  <c r="AO152" i="22"/>
  <c r="AZ152" i="22" s="1"/>
  <c r="AO151" i="22"/>
  <c r="AZ151" i="22" s="1"/>
  <c r="AO150" i="22"/>
  <c r="AZ150" i="22" s="1"/>
  <c r="AO149" i="22"/>
  <c r="AZ149" i="22" s="1"/>
  <c r="AO148" i="22"/>
  <c r="AZ148" i="22" s="1"/>
  <c r="AO147" i="22"/>
  <c r="AZ147" i="22" s="1"/>
  <c r="AO146" i="22"/>
  <c r="AZ146" i="22" s="1"/>
  <c r="AO145" i="22"/>
  <c r="AZ145" i="22" s="1"/>
  <c r="AO144" i="22"/>
  <c r="AZ144" i="22" s="1"/>
  <c r="AO143" i="22"/>
  <c r="AZ143" i="22" s="1"/>
  <c r="AO142" i="22"/>
  <c r="AZ142" i="22" s="1"/>
  <c r="AO141" i="22"/>
  <c r="AZ141" i="22" s="1"/>
  <c r="AO140" i="22"/>
  <c r="AZ140" i="22" s="1"/>
  <c r="AO139" i="22"/>
  <c r="AZ139" i="22" s="1"/>
  <c r="AO138" i="22"/>
  <c r="AZ138" i="22" s="1"/>
  <c r="AO137" i="22"/>
  <c r="AZ137" i="22" s="1"/>
  <c r="AO136" i="22"/>
  <c r="AZ136" i="22" s="1"/>
  <c r="AO135" i="22"/>
  <c r="AZ135" i="22" s="1"/>
  <c r="AO134" i="22"/>
  <c r="AZ134" i="22" s="1"/>
  <c r="AO133" i="22"/>
  <c r="AZ133" i="22" s="1"/>
  <c r="AO132" i="22"/>
  <c r="AZ132" i="22" s="1"/>
  <c r="AO131" i="22"/>
  <c r="AZ131" i="22" s="1"/>
  <c r="AO130" i="22"/>
  <c r="AZ130" i="22" s="1"/>
  <c r="AO129" i="22"/>
  <c r="AZ129" i="22" s="1"/>
  <c r="AO128" i="22"/>
  <c r="AZ128" i="22" s="1"/>
  <c r="AO127" i="22"/>
  <c r="AZ127" i="22" s="1"/>
  <c r="AO126" i="22"/>
  <c r="AZ126" i="22" s="1"/>
  <c r="AO125" i="22"/>
  <c r="AZ125" i="22" s="1"/>
  <c r="AO124" i="22"/>
  <c r="AZ124" i="22" s="1"/>
  <c r="AO123" i="22"/>
  <c r="AZ123" i="22" s="1"/>
  <c r="AO122" i="22"/>
  <c r="AZ122" i="22" s="1"/>
  <c r="AO121" i="22"/>
  <c r="AZ121" i="22" s="1"/>
  <c r="AO120" i="22"/>
  <c r="AZ120" i="22" s="1"/>
  <c r="AO119" i="22"/>
  <c r="AZ119" i="22" s="1"/>
  <c r="AO118" i="22"/>
  <c r="AZ118" i="22" s="1"/>
  <c r="AO117" i="22"/>
  <c r="AZ117" i="22" s="1"/>
  <c r="AO116" i="22"/>
  <c r="AZ116" i="22" s="1"/>
  <c r="AO115" i="22"/>
  <c r="AZ115" i="22" s="1"/>
  <c r="AO114" i="22"/>
  <c r="AZ114" i="22" s="1"/>
  <c r="AO113" i="22"/>
  <c r="AZ113" i="22" s="1"/>
  <c r="AL562" i="22"/>
  <c r="AK562" i="22"/>
  <c r="AL561" i="22"/>
  <c r="AK561" i="22"/>
  <c r="AL560" i="22"/>
  <c r="AK560" i="22"/>
  <c r="AL559" i="22"/>
  <c r="AK559" i="22"/>
  <c r="AL558" i="22"/>
  <c r="AK558" i="22"/>
  <c r="AL557" i="22"/>
  <c r="AK557" i="22"/>
  <c r="AL556" i="22"/>
  <c r="AK556" i="22"/>
  <c r="AL555" i="22"/>
  <c r="AK555" i="22"/>
  <c r="AL554" i="22"/>
  <c r="AK554" i="22"/>
  <c r="AL553" i="22"/>
  <c r="AK553" i="22"/>
  <c r="AL552" i="22"/>
  <c r="AK552" i="22"/>
  <c r="AL551" i="22"/>
  <c r="AK551" i="22"/>
  <c r="AL550" i="22"/>
  <c r="AK550" i="22"/>
  <c r="AL549" i="22"/>
  <c r="AK549" i="22"/>
  <c r="AL548" i="22"/>
  <c r="AK548" i="22"/>
  <c r="AK547" i="22"/>
  <c r="AK546" i="22"/>
  <c r="AK545" i="22"/>
  <c r="AK544" i="22"/>
  <c r="AK543" i="22"/>
  <c r="AL542" i="22"/>
  <c r="AK542" i="22"/>
  <c r="AL541" i="22"/>
  <c r="AK541" i="22"/>
  <c r="AL540" i="22"/>
  <c r="AK540" i="22"/>
  <c r="AL539" i="22"/>
  <c r="AK539" i="22"/>
  <c r="AL538" i="22"/>
  <c r="AK538" i="22"/>
  <c r="AL537" i="22"/>
  <c r="AK537" i="22"/>
  <c r="AL536" i="22"/>
  <c r="AK536" i="22"/>
  <c r="AL535" i="22"/>
  <c r="AK535" i="22"/>
  <c r="AL534" i="22"/>
  <c r="AK534" i="22"/>
  <c r="AL533" i="22"/>
  <c r="AK533" i="22"/>
  <c r="AL532" i="22"/>
  <c r="AK532" i="22"/>
  <c r="AL531" i="22"/>
  <c r="AK531" i="22"/>
  <c r="AL530" i="22"/>
  <c r="AK530" i="22"/>
  <c r="AL529" i="22"/>
  <c r="AK529" i="22"/>
  <c r="AL528" i="22"/>
  <c r="AK528" i="22"/>
  <c r="AK527" i="22"/>
  <c r="AK526" i="22"/>
  <c r="AK525" i="22"/>
  <c r="AK524" i="22"/>
  <c r="AK523" i="22"/>
  <c r="AL521" i="22"/>
  <c r="AK521" i="22"/>
  <c r="AJ521" i="22"/>
  <c r="AI521" i="22"/>
  <c r="AH521" i="22"/>
  <c r="AG521" i="22"/>
  <c r="AF521" i="22"/>
  <c r="AE521" i="22"/>
  <c r="AD521" i="22"/>
  <c r="AL520" i="22"/>
  <c r="AK520" i="22"/>
  <c r="AJ520" i="22"/>
  <c r="AI520" i="22"/>
  <c r="AH520" i="22"/>
  <c r="AG520" i="22"/>
  <c r="AF520" i="22"/>
  <c r="AE520" i="22"/>
  <c r="AD520" i="22"/>
  <c r="AL519" i="22"/>
  <c r="AK519" i="22"/>
  <c r="AJ519" i="22"/>
  <c r="AI519" i="22"/>
  <c r="AH519" i="22"/>
  <c r="AG519" i="22"/>
  <c r="AF519" i="22"/>
  <c r="AE519" i="22"/>
  <c r="AD519" i="22"/>
  <c r="AL518" i="22"/>
  <c r="AK518" i="22"/>
  <c r="AJ518" i="22"/>
  <c r="AI518" i="22"/>
  <c r="AH518" i="22"/>
  <c r="AG518" i="22"/>
  <c r="AF518" i="22"/>
  <c r="AE518" i="22"/>
  <c r="AD518" i="22"/>
  <c r="AL517" i="22"/>
  <c r="AK517" i="22"/>
  <c r="AJ517" i="22"/>
  <c r="AI517" i="22"/>
  <c r="AH517" i="22"/>
  <c r="AG517" i="22"/>
  <c r="AF517" i="22"/>
  <c r="AE517" i="22"/>
  <c r="AD517" i="22"/>
  <c r="AL516" i="22"/>
  <c r="AK516" i="22"/>
  <c r="AJ516" i="22"/>
  <c r="AI516" i="22"/>
  <c r="AH516" i="22"/>
  <c r="AG516" i="22"/>
  <c r="AF516" i="22"/>
  <c r="AE516" i="22"/>
  <c r="AD516" i="22"/>
  <c r="AL515" i="22"/>
  <c r="AK515" i="22"/>
  <c r="AJ515" i="22"/>
  <c r="AI515" i="22"/>
  <c r="AH515" i="22"/>
  <c r="AG515" i="22"/>
  <c r="AF515" i="22"/>
  <c r="AE515" i="22"/>
  <c r="AD515" i="22"/>
  <c r="AL514" i="22"/>
  <c r="AK514" i="22"/>
  <c r="AJ514" i="22"/>
  <c r="AI514" i="22"/>
  <c r="AH514" i="22"/>
  <c r="AG514" i="22"/>
  <c r="AF514" i="22"/>
  <c r="AE514" i="22"/>
  <c r="AD514" i="22"/>
  <c r="AL513" i="22"/>
  <c r="AK513" i="22"/>
  <c r="AJ513" i="22"/>
  <c r="AI513" i="22"/>
  <c r="AH513" i="22"/>
  <c r="AG513" i="22"/>
  <c r="AF513" i="22"/>
  <c r="AE513" i="22"/>
  <c r="AD513" i="22"/>
  <c r="AL512" i="22"/>
  <c r="AK512" i="22"/>
  <c r="AJ512" i="22"/>
  <c r="AI512" i="22"/>
  <c r="AH512" i="22"/>
  <c r="AG512" i="22"/>
  <c r="AF512" i="22"/>
  <c r="AE512" i="22"/>
  <c r="AD512" i="22"/>
  <c r="AL511" i="22"/>
  <c r="AK511" i="22"/>
  <c r="AJ511" i="22"/>
  <c r="AI511" i="22"/>
  <c r="AH511" i="22"/>
  <c r="AG511" i="22"/>
  <c r="AF511" i="22"/>
  <c r="AE511" i="22"/>
  <c r="AD511" i="22"/>
  <c r="AL510" i="22"/>
  <c r="AK510" i="22"/>
  <c r="AJ510" i="22"/>
  <c r="AI510" i="22"/>
  <c r="AH510" i="22"/>
  <c r="AG510" i="22"/>
  <c r="AF510" i="22"/>
  <c r="AE510" i="22"/>
  <c r="AD510" i="22"/>
  <c r="AL509" i="22"/>
  <c r="AK509" i="22"/>
  <c r="AJ509" i="22"/>
  <c r="AI509" i="22"/>
  <c r="AH509" i="22"/>
  <c r="AG509" i="22"/>
  <c r="AF509" i="22"/>
  <c r="AE509" i="22"/>
  <c r="AD509" i="22"/>
  <c r="AL508" i="22"/>
  <c r="AK508" i="22"/>
  <c r="AJ508" i="22"/>
  <c r="AI508" i="22"/>
  <c r="AH508" i="22"/>
  <c r="AG508" i="22"/>
  <c r="AF508" i="22"/>
  <c r="AE508" i="22"/>
  <c r="AD508" i="22"/>
  <c r="AL507" i="22"/>
  <c r="AK507" i="22"/>
  <c r="AJ507" i="22"/>
  <c r="AI507" i="22"/>
  <c r="AH507" i="22"/>
  <c r="AG507" i="22"/>
  <c r="AF507" i="22"/>
  <c r="AE507" i="22"/>
  <c r="AD507" i="22"/>
  <c r="AL506" i="22"/>
  <c r="AK506" i="22"/>
  <c r="AJ506" i="22"/>
  <c r="AI506" i="22"/>
  <c r="AH506" i="22"/>
  <c r="AG506" i="22"/>
  <c r="AF506" i="22"/>
  <c r="AE506" i="22"/>
  <c r="AD506" i="22"/>
  <c r="AL505" i="22"/>
  <c r="AK505" i="22"/>
  <c r="AJ505" i="22"/>
  <c r="AI505" i="22"/>
  <c r="AH505" i="22"/>
  <c r="AG505" i="22"/>
  <c r="AF505" i="22"/>
  <c r="AE505" i="22"/>
  <c r="AD505" i="22"/>
  <c r="AL504" i="22"/>
  <c r="AK504" i="22"/>
  <c r="AJ504" i="22"/>
  <c r="AI504" i="22"/>
  <c r="AH504" i="22"/>
  <c r="AG504" i="22"/>
  <c r="AF504" i="22"/>
  <c r="AE504" i="22"/>
  <c r="AD504" i="22"/>
  <c r="AL503" i="22"/>
  <c r="AK503" i="22"/>
  <c r="AJ503" i="22"/>
  <c r="AI503" i="22"/>
  <c r="AH503" i="22"/>
  <c r="AG503" i="22"/>
  <c r="AF503" i="22"/>
  <c r="AE503" i="22"/>
  <c r="AD503" i="22"/>
  <c r="AL502" i="22"/>
  <c r="AK502" i="22"/>
  <c r="AJ502" i="22"/>
  <c r="AI502" i="22"/>
  <c r="AH502" i="22"/>
  <c r="AG502" i="22"/>
  <c r="AF502" i="22"/>
  <c r="AE502" i="22"/>
  <c r="AD502" i="22"/>
  <c r="AL501" i="22"/>
  <c r="AK501" i="22"/>
  <c r="AJ501" i="22"/>
  <c r="AI501" i="22"/>
  <c r="AH501" i="22"/>
  <c r="AG501" i="22"/>
  <c r="AF501" i="22"/>
  <c r="AE501" i="22"/>
  <c r="AD501" i="22"/>
  <c r="AL500" i="22"/>
  <c r="AK500" i="22"/>
  <c r="AJ500" i="22"/>
  <c r="AI500" i="22"/>
  <c r="AH500" i="22"/>
  <c r="AG500" i="22"/>
  <c r="AF500" i="22"/>
  <c r="AE500" i="22"/>
  <c r="AD500" i="22"/>
  <c r="AL499" i="22"/>
  <c r="AK499" i="22"/>
  <c r="AJ499" i="22"/>
  <c r="AI499" i="22"/>
  <c r="AH499" i="22"/>
  <c r="AG499" i="22"/>
  <c r="AF499" i="22"/>
  <c r="AE499" i="22"/>
  <c r="AD499" i="22"/>
  <c r="AL498" i="22"/>
  <c r="AK498" i="22"/>
  <c r="AJ498" i="22"/>
  <c r="AI498" i="22"/>
  <c r="AH498" i="22"/>
  <c r="AG498" i="22"/>
  <c r="AF498" i="22"/>
  <c r="AE498" i="22"/>
  <c r="AD498" i="22"/>
  <c r="AL497" i="22"/>
  <c r="AK497" i="22"/>
  <c r="AJ497" i="22"/>
  <c r="AI497" i="22"/>
  <c r="AH497" i="22"/>
  <c r="AG497" i="22"/>
  <c r="AF497" i="22"/>
  <c r="AE497" i="22"/>
  <c r="AD497" i="22"/>
  <c r="AL496" i="22"/>
  <c r="AK496" i="22"/>
  <c r="AJ496" i="22"/>
  <c r="AI496" i="22"/>
  <c r="AH496" i="22"/>
  <c r="AG496" i="22"/>
  <c r="AF496" i="22"/>
  <c r="AE496" i="22"/>
  <c r="AD496" i="22"/>
  <c r="AL495" i="22"/>
  <c r="AK495" i="22"/>
  <c r="AJ495" i="22"/>
  <c r="AI495" i="22"/>
  <c r="AH495" i="22"/>
  <c r="AG495" i="22"/>
  <c r="AF495" i="22"/>
  <c r="AE495" i="22"/>
  <c r="AD495" i="22"/>
  <c r="AL494" i="22"/>
  <c r="AK494" i="22"/>
  <c r="AJ494" i="22"/>
  <c r="AI494" i="22"/>
  <c r="AH494" i="22"/>
  <c r="AG494" i="22"/>
  <c r="AF494" i="22"/>
  <c r="AE494" i="22"/>
  <c r="AD494" i="22"/>
  <c r="AL493" i="22"/>
  <c r="AK493" i="22"/>
  <c r="AJ493" i="22"/>
  <c r="AI493" i="22"/>
  <c r="AH493" i="22"/>
  <c r="AG493" i="22"/>
  <c r="AF493" i="22"/>
  <c r="AE493" i="22"/>
  <c r="AD493" i="22"/>
  <c r="AL492" i="22"/>
  <c r="AK492" i="22"/>
  <c r="AJ492" i="22"/>
  <c r="AI492" i="22"/>
  <c r="AH492" i="22"/>
  <c r="AG492" i="22"/>
  <c r="AF492" i="22"/>
  <c r="AE492" i="22"/>
  <c r="AD492" i="22"/>
  <c r="AL491" i="22"/>
  <c r="AK491" i="22"/>
  <c r="AJ491" i="22"/>
  <c r="AI491" i="22"/>
  <c r="AH491" i="22"/>
  <c r="AG491" i="22"/>
  <c r="AF491" i="22"/>
  <c r="AE491" i="22"/>
  <c r="AD491" i="22"/>
  <c r="AL490" i="22"/>
  <c r="AK490" i="22"/>
  <c r="AJ490" i="22"/>
  <c r="AI490" i="22"/>
  <c r="AH490" i="22"/>
  <c r="AG490" i="22"/>
  <c r="AF490" i="22"/>
  <c r="AE490" i="22"/>
  <c r="AD490" i="22"/>
  <c r="AL489" i="22"/>
  <c r="AK489" i="22"/>
  <c r="AJ489" i="22"/>
  <c r="AI489" i="22"/>
  <c r="AH489" i="22"/>
  <c r="AG489" i="22"/>
  <c r="AF489" i="22"/>
  <c r="AE489" i="22"/>
  <c r="AD489" i="22"/>
  <c r="AL488" i="22"/>
  <c r="AK488" i="22"/>
  <c r="AJ488" i="22"/>
  <c r="AI488" i="22"/>
  <c r="AH488" i="22"/>
  <c r="AG488" i="22"/>
  <c r="AF488" i="22"/>
  <c r="AE488" i="22"/>
  <c r="AD488" i="22"/>
  <c r="AL487" i="22"/>
  <c r="AK487" i="22"/>
  <c r="AJ487" i="22"/>
  <c r="AI487" i="22"/>
  <c r="AH487" i="22"/>
  <c r="AG487" i="22"/>
  <c r="AF487" i="22"/>
  <c r="AE487" i="22"/>
  <c r="AD487" i="22"/>
  <c r="AL486" i="22"/>
  <c r="AK486" i="22"/>
  <c r="AJ486" i="22"/>
  <c r="AI486" i="22"/>
  <c r="AH486" i="22"/>
  <c r="AG486" i="22"/>
  <c r="AF486" i="22"/>
  <c r="AE486" i="22"/>
  <c r="AD486" i="22"/>
  <c r="AL485" i="22"/>
  <c r="AK485" i="22"/>
  <c r="AJ485" i="22"/>
  <c r="AI485" i="22"/>
  <c r="AH485" i="22"/>
  <c r="AG485" i="22"/>
  <c r="AF485" i="22"/>
  <c r="AE485" i="22"/>
  <c r="AD485" i="22"/>
  <c r="AL484" i="22"/>
  <c r="AK484" i="22"/>
  <c r="AJ484" i="22"/>
  <c r="AI484" i="22"/>
  <c r="AH484" i="22"/>
  <c r="AG484" i="22"/>
  <c r="AF484" i="22"/>
  <c r="AE484" i="22"/>
  <c r="AD484" i="22"/>
  <c r="AL483" i="22"/>
  <c r="AK483" i="22"/>
  <c r="AJ483" i="22"/>
  <c r="AI483" i="22"/>
  <c r="AH483" i="22"/>
  <c r="AG483" i="22"/>
  <c r="AF483" i="22"/>
  <c r="AE483" i="22"/>
  <c r="AD483" i="22"/>
  <c r="AL482" i="22"/>
  <c r="AK482" i="22"/>
  <c r="AJ482" i="22"/>
  <c r="AI482" i="22"/>
  <c r="AH482" i="22"/>
  <c r="AG482" i="22"/>
  <c r="AF482" i="22"/>
  <c r="AE482" i="22"/>
  <c r="AD482" i="22"/>
  <c r="AL480" i="22"/>
  <c r="AK480" i="22"/>
  <c r="AJ480" i="22"/>
  <c r="AI480" i="22"/>
  <c r="AH480" i="22"/>
  <c r="AG480" i="22"/>
  <c r="AF480" i="22"/>
  <c r="AE480" i="22"/>
  <c r="AD480" i="22"/>
  <c r="AL479" i="22"/>
  <c r="AK479" i="22"/>
  <c r="AJ479" i="22"/>
  <c r="AI479" i="22"/>
  <c r="AH479" i="22"/>
  <c r="AG479" i="22"/>
  <c r="AF479" i="22"/>
  <c r="AE479" i="22"/>
  <c r="AD479" i="22"/>
  <c r="AL478" i="22"/>
  <c r="AK478" i="22"/>
  <c r="AJ478" i="22"/>
  <c r="AI478" i="22"/>
  <c r="AH478" i="22"/>
  <c r="AG478" i="22"/>
  <c r="AF478" i="22"/>
  <c r="AE478" i="22"/>
  <c r="AD478" i="22"/>
  <c r="AL477" i="22"/>
  <c r="AK477" i="22"/>
  <c r="AJ477" i="22"/>
  <c r="AI477" i="22"/>
  <c r="AH477" i="22"/>
  <c r="AG477" i="22"/>
  <c r="AF477" i="22"/>
  <c r="AE477" i="22"/>
  <c r="AD477" i="22"/>
  <c r="AL476" i="22"/>
  <c r="AK476" i="22"/>
  <c r="AJ476" i="22"/>
  <c r="AI476" i="22"/>
  <c r="AH476" i="22"/>
  <c r="AG476" i="22"/>
  <c r="AF476" i="22"/>
  <c r="AE476" i="22"/>
  <c r="AD476" i="22"/>
  <c r="AL475" i="22"/>
  <c r="AK475" i="22"/>
  <c r="AJ475" i="22"/>
  <c r="AI475" i="22"/>
  <c r="AH475" i="22"/>
  <c r="AG475" i="22"/>
  <c r="AF475" i="22"/>
  <c r="AE475" i="22"/>
  <c r="AD475" i="22"/>
  <c r="AL474" i="22"/>
  <c r="AK474" i="22"/>
  <c r="AJ474" i="22"/>
  <c r="AI474" i="22"/>
  <c r="AH474" i="22"/>
  <c r="AG474" i="22"/>
  <c r="AF474" i="22"/>
  <c r="AE474" i="22"/>
  <c r="AD474" i="22"/>
  <c r="AL473" i="22"/>
  <c r="AK473" i="22"/>
  <c r="AJ473" i="22"/>
  <c r="AI473" i="22"/>
  <c r="AH473" i="22"/>
  <c r="AG473" i="22"/>
  <c r="AF473" i="22"/>
  <c r="AE473" i="22"/>
  <c r="AD473" i="22"/>
  <c r="AL472" i="22"/>
  <c r="AK472" i="22"/>
  <c r="AJ472" i="22"/>
  <c r="AI472" i="22"/>
  <c r="AH472" i="22"/>
  <c r="AG472" i="22"/>
  <c r="AF472" i="22"/>
  <c r="AE472" i="22"/>
  <c r="AD472" i="22"/>
  <c r="AL471" i="22"/>
  <c r="AK471" i="22"/>
  <c r="AJ471" i="22"/>
  <c r="AI471" i="22"/>
  <c r="AH471" i="22"/>
  <c r="AG471" i="22"/>
  <c r="AF471" i="22"/>
  <c r="AE471" i="22"/>
  <c r="AD471" i="22"/>
  <c r="AL470" i="22"/>
  <c r="AK470" i="22"/>
  <c r="AJ470" i="22"/>
  <c r="AI470" i="22"/>
  <c r="AH470" i="22"/>
  <c r="AG470" i="22"/>
  <c r="AF470" i="22"/>
  <c r="AE470" i="22"/>
  <c r="AD470" i="22"/>
  <c r="AL469" i="22"/>
  <c r="AK469" i="22"/>
  <c r="AJ469" i="22"/>
  <c r="AI469" i="22"/>
  <c r="AH469" i="22"/>
  <c r="AG469" i="22"/>
  <c r="AF469" i="22"/>
  <c r="AE469" i="22"/>
  <c r="AD469" i="22"/>
  <c r="AL468" i="22"/>
  <c r="AK468" i="22"/>
  <c r="AJ468" i="22"/>
  <c r="AI468" i="22"/>
  <c r="AH468" i="22"/>
  <c r="AG468" i="22"/>
  <c r="AF468" i="22"/>
  <c r="AE468" i="22"/>
  <c r="AD468" i="22"/>
  <c r="AL467" i="22"/>
  <c r="AK467" i="22"/>
  <c r="AJ467" i="22"/>
  <c r="AI467" i="22"/>
  <c r="AH467" i="22"/>
  <c r="AG467" i="22"/>
  <c r="AF467" i="22"/>
  <c r="AE467" i="22"/>
  <c r="AD467" i="22"/>
  <c r="AL466" i="22"/>
  <c r="AK466" i="22"/>
  <c r="AJ466" i="22"/>
  <c r="AI466" i="22"/>
  <c r="AH466" i="22"/>
  <c r="AG466" i="22"/>
  <c r="AF466" i="22"/>
  <c r="AE466" i="22"/>
  <c r="AD466" i="22"/>
  <c r="AL465" i="22"/>
  <c r="AK465" i="22"/>
  <c r="AJ465" i="22"/>
  <c r="AI465" i="22"/>
  <c r="AH465" i="22"/>
  <c r="AG465" i="22"/>
  <c r="AF465" i="22"/>
  <c r="AE465" i="22"/>
  <c r="AD465" i="22"/>
  <c r="AL464" i="22"/>
  <c r="AK464" i="22"/>
  <c r="AJ464" i="22"/>
  <c r="AI464" i="22"/>
  <c r="AH464" i="22"/>
  <c r="AG464" i="22"/>
  <c r="AF464" i="22"/>
  <c r="AE464" i="22"/>
  <c r="AD464" i="22"/>
  <c r="AL463" i="22"/>
  <c r="AK463" i="22"/>
  <c r="AJ463" i="22"/>
  <c r="AI463" i="22"/>
  <c r="AH463" i="22"/>
  <c r="AG463" i="22"/>
  <c r="AF463" i="22"/>
  <c r="AE463" i="22"/>
  <c r="AD463" i="22"/>
  <c r="AL462" i="22"/>
  <c r="AK462" i="22"/>
  <c r="AJ462" i="22"/>
  <c r="AI462" i="22"/>
  <c r="AH462" i="22"/>
  <c r="AG462" i="22"/>
  <c r="AF462" i="22"/>
  <c r="AE462" i="22"/>
  <c r="AD462" i="22"/>
  <c r="AL461" i="22"/>
  <c r="AK461" i="22"/>
  <c r="AJ461" i="22"/>
  <c r="AI461" i="22"/>
  <c r="AH461" i="22"/>
  <c r="AG461" i="22"/>
  <c r="AF461" i="22"/>
  <c r="AE461" i="22"/>
  <c r="AD461" i="22"/>
  <c r="AL460" i="22"/>
  <c r="AK460" i="22"/>
  <c r="AJ460" i="22"/>
  <c r="AI460" i="22"/>
  <c r="AH460" i="22"/>
  <c r="AG460" i="22"/>
  <c r="AF460" i="22"/>
  <c r="AE460" i="22"/>
  <c r="AD460" i="22"/>
  <c r="AL459" i="22"/>
  <c r="AK459" i="22"/>
  <c r="AJ459" i="22"/>
  <c r="AI459" i="22"/>
  <c r="AH459" i="22"/>
  <c r="AG459" i="22"/>
  <c r="AF459" i="22"/>
  <c r="AE459" i="22"/>
  <c r="AD459" i="22"/>
  <c r="AL458" i="22"/>
  <c r="AK458" i="22"/>
  <c r="AJ458" i="22"/>
  <c r="AI458" i="22"/>
  <c r="AH458" i="22"/>
  <c r="AG458" i="22"/>
  <c r="AF458" i="22"/>
  <c r="AE458" i="22"/>
  <c r="AD458" i="22"/>
  <c r="AL457" i="22"/>
  <c r="AK457" i="22"/>
  <c r="AJ457" i="22"/>
  <c r="AI457" i="22"/>
  <c r="AH457" i="22"/>
  <c r="AG457" i="22"/>
  <c r="AF457" i="22"/>
  <c r="AE457" i="22"/>
  <c r="AD457" i="22"/>
  <c r="AL456" i="22"/>
  <c r="AK456" i="22"/>
  <c r="AJ456" i="22"/>
  <c r="AI456" i="22"/>
  <c r="AH456" i="22"/>
  <c r="AG456" i="22"/>
  <c r="AF456" i="22"/>
  <c r="AE456" i="22"/>
  <c r="AD456" i="22"/>
  <c r="AL455" i="22"/>
  <c r="AK455" i="22"/>
  <c r="AJ455" i="22"/>
  <c r="AI455" i="22"/>
  <c r="AH455" i="22"/>
  <c r="AG455" i="22"/>
  <c r="AF455" i="22"/>
  <c r="AE455" i="22"/>
  <c r="AD455" i="22"/>
  <c r="AL454" i="22"/>
  <c r="AK454" i="22"/>
  <c r="AJ454" i="22"/>
  <c r="AI454" i="22"/>
  <c r="AH454" i="22"/>
  <c r="AG454" i="22"/>
  <c r="AF454" i="22"/>
  <c r="AE454" i="22"/>
  <c r="AD454" i="22"/>
  <c r="AL453" i="22"/>
  <c r="AK453" i="22"/>
  <c r="AJ453" i="22"/>
  <c r="AI453" i="22"/>
  <c r="AH453" i="22"/>
  <c r="AG453" i="22"/>
  <c r="AF453" i="22"/>
  <c r="AE453" i="22"/>
  <c r="AD453" i="22"/>
  <c r="AL452" i="22"/>
  <c r="AK452" i="22"/>
  <c r="AJ452" i="22"/>
  <c r="AI452" i="22"/>
  <c r="AH452" i="22"/>
  <c r="AG452" i="22"/>
  <c r="AF452" i="22"/>
  <c r="AE452" i="22"/>
  <c r="AD452" i="22"/>
  <c r="AL451" i="22"/>
  <c r="AK451" i="22"/>
  <c r="AJ451" i="22"/>
  <c r="AI451" i="22"/>
  <c r="AH451" i="22"/>
  <c r="AG451" i="22"/>
  <c r="AF451" i="22"/>
  <c r="AE451" i="22"/>
  <c r="AD451" i="22"/>
  <c r="AL450" i="22"/>
  <c r="AK450" i="22"/>
  <c r="AJ450" i="22"/>
  <c r="AI450" i="22"/>
  <c r="AH450" i="22"/>
  <c r="AG450" i="22"/>
  <c r="AF450" i="22"/>
  <c r="AE450" i="22"/>
  <c r="AD450" i="22"/>
  <c r="AL449" i="22"/>
  <c r="AK449" i="22"/>
  <c r="AJ449" i="22"/>
  <c r="AI449" i="22"/>
  <c r="AH449" i="22"/>
  <c r="AG449" i="22"/>
  <c r="AF449" i="22"/>
  <c r="AE449" i="22"/>
  <c r="AD449" i="22"/>
  <c r="AL448" i="22"/>
  <c r="AK448" i="22"/>
  <c r="AJ448" i="22"/>
  <c r="AI448" i="22"/>
  <c r="AH448" i="22"/>
  <c r="AG448" i="22"/>
  <c r="AF448" i="22"/>
  <c r="AE448" i="22"/>
  <c r="AD448" i="22"/>
  <c r="AL447" i="22"/>
  <c r="AK447" i="22"/>
  <c r="AJ447" i="22"/>
  <c r="AI447" i="22"/>
  <c r="AH447" i="22"/>
  <c r="AG447" i="22"/>
  <c r="AF447" i="22"/>
  <c r="AE447" i="22"/>
  <c r="AD447" i="22"/>
  <c r="AL446" i="22"/>
  <c r="AK446" i="22"/>
  <c r="AJ446" i="22"/>
  <c r="AI446" i="22"/>
  <c r="AH446" i="22"/>
  <c r="AG446" i="22"/>
  <c r="AF446" i="22"/>
  <c r="AE446" i="22"/>
  <c r="AD446" i="22"/>
  <c r="AL445" i="22"/>
  <c r="AK445" i="22"/>
  <c r="AJ445" i="22"/>
  <c r="AI445" i="22"/>
  <c r="AH445" i="22"/>
  <c r="AG445" i="22"/>
  <c r="AF445" i="22"/>
  <c r="AE445" i="22"/>
  <c r="AD445" i="22"/>
  <c r="AL444" i="22"/>
  <c r="AK444" i="22"/>
  <c r="AJ444" i="22"/>
  <c r="AI444" i="22"/>
  <c r="AH444" i="22"/>
  <c r="AG444" i="22"/>
  <c r="AF444" i="22"/>
  <c r="AE444" i="22"/>
  <c r="AD444" i="22"/>
  <c r="AL443" i="22"/>
  <c r="AK443" i="22"/>
  <c r="AJ443" i="22"/>
  <c r="AI443" i="22"/>
  <c r="AH443" i="22"/>
  <c r="AG443" i="22"/>
  <c r="AF443" i="22"/>
  <c r="AE443" i="22"/>
  <c r="AD443" i="22"/>
  <c r="AL442" i="22"/>
  <c r="AK442" i="22"/>
  <c r="AJ442" i="22"/>
  <c r="AI442" i="22"/>
  <c r="AH442" i="22"/>
  <c r="AG442" i="22"/>
  <c r="AF442" i="22"/>
  <c r="AE442" i="22"/>
  <c r="AD442" i="22"/>
  <c r="AL441" i="22"/>
  <c r="AK441" i="22"/>
  <c r="AJ441" i="22"/>
  <c r="AI441" i="22"/>
  <c r="AH441" i="22"/>
  <c r="AG441" i="22"/>
  <c r="AF441" i="22"/>
  <c r="AE441" i="22"/>
  <c r="AD441" i="22"/>
  <c r="AL439" i="22"/>
  <c r="AK439" i="22"/>
  <c r="AJ439" i="22"/>
  <c r="AI439" i="22"/>
  <c r="AH439" i="22"/>
  <c r="AG439" i="22"/>
  <c r="AF439" i="22"/>
  <c r="AE439" i="22"/>
  <c r="AD439" i="22"/>
  <c r="AL438" i="22"/>
  <c r="AK438" i="22"/>
  <c r="AJ438" i="22"/>
  <c r="AI438" i="22"/>
  <c r="AH438" i="22"/>
  <c r="AG438" i="22"/>
  <c r="AF438" i="22"/>
  <c r="AE438" i="22"/>
  <c r="AD438" i="22"/>
  <c r="AL437" i="22"/>
  <c r="AK437" i="22"/>
  <c r="AJ437" i="22"/>
  <c r="AI437" i="22"/>
  <c r="AH437" i="22"/>
  <c r="AG437" i="22"/>
  <c r="AF437" i="22"/>
  <c r="AE437" i="22"/>
  <c r="AD437" i="22"/>
  <c r="AL436" i="22"/>
  <c r="AK436" i="22"/>
  <c r="AJ436" i="22"/>
  <c r="AI436" i="22"/>
  <c r="AH436" i="22"/>
  <c r="AG436" i="22"/>
  <c r="AF436" i="22"/>
  <c r="AE436" i="22"/>
  <c r="AD436" i="22"/>
  <c r="AL435" i="22"/>
  <c r="AK435" i="22"/>
  <c r="AJ435" i="22"/>
  <c r="AI435" i="22"/>
  <c r="AH435" i="22"/>
  <c r="AG435" i="22"/>
  <c r="AF435" i="22"/>
  <c r="AE435" i="22"/>
  <c r="AD435" i="22"/>
  <c r="AL434" i="22"/>
  <c r="AK434" i="22"/>
  <c r="AJ434" i="22"/>
  <c r="AI434" i="22"/>
  <c r="AH434" i="22"/>
  <c r="AG434" i="22"/>
  <c r="AF434" i="22"/>
  <c r="AE434" i="22"/>
  <c r="AD434" i="22"/>
  <c r="AL433" i="22"/>
  <c r="AK433" i="22"/>
  <c r="AJ433" i="22"/>
  <c r="AI433" i="22"/>
  <c r="AH433" i="22"/>
  <c r="AG433" i="22"/>
  <c r="AF433" i="22"/>
  <c r="AE433" i="22"/>
  <c r="AD433" i="22"/>
  <c r="AL432" i="22"/>
  <c r="AK432" i="22"/>
  <c r="AJ432" i="22"/>
  <c r="AI432" i="22"/>
  <c r="AH432" i="22"/>
  <c r="AG432" i="22"/>
  <c r="AF432" i="22"/>
  <c r="AE432" i="22"/>
  <c r="AD432" i="22"/>
  <c r="AL431" i="22"/>
  <c r="AK431" i="22"/>
  <c r="AJ431" i="22"/>
  <c r="AI431" i="22"/>
  <c r="AH431" i="22"/>
  <c r="AG431" i="22"/>
  <c r="AF431" i="22"/>
  <c r="AE431" i="22"/>
  <c r="AD431" i="22"/>
  <c r="AL430" i="22"/>
  <c r="AK430" i="22"/>
  <c r="AJ430" i="22"/>
  <c r="AI430" i="22"/>
  <c r="AH430" i="22"/>
  <c r="AG430" i="22"/>
  <c r="AF430" i="22"/>
  <c r="AE430" i="22"/>
  <c r="AD430" i="22"/>
  <c r="AL429" i="22"/>
  <c r="AK429" i="22"/>
  <c r="AJ429" i="22"/>
  <c r="AI429" i="22"/>
  <c r="AH429" i="22"/>
  <c r="AG429" i="22"/>
  <c r="AF429" i="22"/>
  <c r="AE429" i="22"/>
  <c r="AD429" i="22"/>
  <c r="AL428" i="22"/>
  <c r="AK428" i="22"/>
  <c r="AJ428" i="22"/>
  <c r="AI428" i="22"/>
  <c r="AH428" i="22"/>
  <c r="AG428" i="22"/>
  <c r="AF428" i="22"/>
  <c r="AE428" i="22"/>
  <c r="AD428" i="22"/>
  <c r="AL427" i="22"/>
  <c r="AK427" i="22"/>
  <c r="AJ427" i="22"/>
  <c r="AI427" i="22"/>
  <c r="AH427" i="22"/>
  <c r="AG427" i="22"/>
  <c r="AF427" i="22"/>
  <c r="AE427" i="22"/>
  <c r="AD427" i="22"/>
  <c r="AL426" i="22"/>
  <c r="AK426" i="22"/>
  <c r="AJ426" i="22"/>
  <c r="AI426" i="22"/>
  <c r="AH426" i="22"/>
  <c r="AG426" i="22"/>
  <c r="AF426" i="22"/>
  <c r="AE426" i="22"/>
  <c r="AD426" i="22"/>
  <c r="AL425" i="22"/>
  <c r="AK425" i="22"/>
  <c r="AJ425" i="22"/>
  <c r="AI425" i="22"/>
  <c r="AH425" i="22"/>
  <c r="AG425" i="22"/>
  <c r="AF425" i="22"/>
  <c r="AE425" i="22"/>
  <c r="AD425" i="22"/>
  <c r="AL424" i="22"/>
  <c r="AK424" i="22"/>
  <c r="AJ424" i="22"/>
  <c r="AI424" i="22"/>
  <c r="AH424" i="22"/>
  <c r="AG424" i="22"/>
  <c r="AF424" i="22"/>
  <c r="AE424" i="22"/>
  <c r="AD424" i="22"/>
  <c r="AL423" i="22"/>
  <c r="AK423" i="22"/>
  <c r="AJ423" i="22"/>
  <c r="AI423" i="22"/>
  <c r="AH423" i="22"/>
  <c r="AG423" i="22"/>
  <c r="AF423" i="22"/>
  <c r="AE423" i="22"/>
  <c r="AD423" i="22"/>
  <c r="AL422" i="22"/>
  <c r="AK422" i="22"/>
  <c r="AJ422" i="22"/>
  <c r="AI422" i="22"/>
  <c r="AH422" i="22"/>
  <c r="AG422" i="22"/>
  <c r="AF422" i="22"/>
  <c r="AE422" i="22"/>
  <c r="AD422" i="22"/>
  <c r="AL421" i="22"/>
  <c r="AK421" i="22"/>
  <c r="AJ421" i="22"/>
  <c r="AI421" i="22"/>
  <c r="AH421" i="22"/>
  <c r="AG421" i="22"/>
  <c r="AF421" i="22"/>
  <c r="AE421" i="22"/>
  <c r="AD421" i="22"/>
  <c r="AL420" i="22"/>
  <c r="AK420" i="22"/>
  <c r="AJ420" i="22"/>
  <c r="AI420" i="22"/>
  <c r="AH420" i="22"/>
  <c r="AG420" i="22"/>
  <c r="AF420" i="22"/>
  <c r="AE420" i="22"/>
  <c r="AD420" i="22"/>
  <c r="AL419" i="22"/>
  <c r="AK419" i="22"/>
  <c r="AJ419" i="22"/>
  <c r="AI419" i="22"/>
  <c r="AH419" i="22"/>
  <c r="AG419" i="22"/>
  <c r="AF419" i="22"/>
  <c r="AE419" i="22"/>
  <c r="AD419" i="22"/>
  <c r="AL418" i="22"/>
  <c r="AK418" i="22"/>
  <c r="AJ418" i="22"/>
  <c r="AI418" i="22"/>
  <c r="AH418" i="22"/>
  <c r="AG418" i="22"/>
  <c r="AF418" i="22"/>
  <c r="AE418" i="22"/>
  <c r="AD418" i="22"/>
  <c r="AL417" i="22"/>
  <c r="AK417" i="22"/>
  <c r="AJ417" i="22"/>
  <c r="AI417" i="22"/>
  <c r="AH417" i="22"/>
  <c r="AG417" i="22"/>
  <c r="AF417" i="22"/>
  <c r="AE417" i="22"/>
  <c r="AD417" i="22"/>
  <c r="AL416" i="22"/>
  <c r="AK416" i="22"/>
  <c r="AJ416" i="22"/>
  <c r="AI416" i="22"/>
  <c r="AH416" i="22"/>
  <c r="AG416" i="22"/>
  <c r="AF416" i="22"/>
  <c r="AE416" i="22"/>
  <c r="AD416" i="22"/>
  <c r="AL415" i="22"/>
  <c r="AK415" i="22"/>
  <c r="AJ415" i="22"/>
  <c r="AI415" i="22"/>
  <c r="AH415" i="22"/>
  <c r="AG415" i="22"/>
  <c r="AF415" i="22"/>
  <c r="AE415" i="22"/>
  <c r="AD415" i="22"/>
  <c r="AL414" i="22"/>
  <c r="AK414" i="22"/>
  <c r="AJ414" i="22"/>
  <c r="AI414" i="22"/>
  <c r="AH414" i="22"/>
  <c r="AG414" i="22"/>
  <c r="AF414" i="22"/>
  <c r="AE414" i="22"/>
  <c r="AD414" i="22"/>
  <c r="AL413" i="22"/>
  <c r="AK413" i="22"/>
  <c r="AJ413" i="22"/>
  <c r="AI413" i="22"/>
  <c r="AH413" i="22"/>
  <c r="AG413" i="22"/>
  <c r="AF413" i="22"/>
  <c r="AE413" i="22"/>
  <c r="AD413" i="22"/>
  <c r="AL412" i="22"/>
  <c r="AK412" i="22"/>
  <c r="AJ412" i="22"/>
  <c r="AI412" i="22"/>
  <c r="AH412" i="22"/>
  <c r="AG412" i="22"/>
  <c r="AF412" i="22"/>
  <c r="AE412" i="22"/>
  <c r="AD412" i="22"/>
  <c r="AL411" i="22"/>
  <c r="AK411" i="22"/>
  <c r="AJ411" i="22"/>
  <c r="AI411" i="22"/>
  <c r="AH411" i="22"/>
  <c r="AG411" i="22"/>
  <c r="AF411" i="22"/>
  <c r="AE411" i="22"/>
  <c r="AD411" i="22"/>
  <c r="AL410" i="22"/>
  <c r="AK410" i="22"/>
  <c r="AJ410" i="22"/>
  <c r="AI410" i="22"/>
  <c r="AH410" i="22"/>
  <c r="AG410" i="22"/>
  <c r="AF410" i="22"/>
  <c r="AE410" i="22"/>
  <c r="AD410" i="22"/>
  <c r="AL409" i="22"/>
  <c r="AK409" i="22"/>
  <c r="AJ409" i="22"/>
  <c r="AI409" i="22"/>
  <c r="AH409" i="22"/>
  <c r="AG409" i="22"/>
  <c r="AF409" i="22"/>
  <c r="AE409" i="22"/>
  <c r="AD409" i="22"/>
  <c r="AL408" i="22"/>
  <c r="AK408" i="22"/>
  <c r="AJ408" i="22"/>
  <c r="AI408" i="22"/>
  <c r="AH408" i="22"/>
  <c r="AG408" i="22"/>
  <c r="AF408" i="22"/>
  <c r="AE408" i="22"/>
  <c r="AD408" i="22"/>
  <c r="AL407" i="22"/>
  <c r="AK407" i="22"/>
  <c r="AJ407" i="22"/>
  <c r="AI407" i="22"/>
  <c r="AH407" i="22"/>
  <c r="AG407" i="22"/>
  <c r="AF407" i="22"/>
  <c r="AE407" i="22"/>
  <c r="AD407" i="22"/>
  <c r="AL406" i="22"/>
  <c r="AK406" i="22"/>
  <c r="AJ406" i="22"/>
  <c r="AI406" i="22"/>
  <c r="AH406" i="22"/>
  <c r="AG406" i="22"/>
  <c r="AF406" i="22"/>
  <c r="AE406" i="22"/>
  <c r="AD406" i="22"/>
  <c r="AL405" i="22"/>
  <c r="AK405" i="22"/>
  <c r="AJ405" i="22"/>
  <c r="AI405" i="22"/>
  <c r="AH405" i="22"/>
  <c r="AG405" i="22"/>
  <c r="AF405" i="22"/>
  <c r="AE405" i="22"/>
  <c r="AD405" i="22"/>
  <c r="AL404" i="22"/>
  <c r="AK404" i="22"/>
  <c r="AJ404" i="22"/>
  <c r="AI404" i="22"/>
  <c r="AH404" i="22"/>
  <c r="AG404" i="22"/>
  <c r="AF404" i="22"/>
  <c r="AE404" i="22"/>
  <c r="AD404" i="22"/>
  <c r="AL403" i="22"/>
  <c r="AK403" i="22"/>
  <c r="AJ403" i="22"/>
  <c r="AI403" i="22"/>
  <c r="AH403" i="22"/>
  <c r="AG403" i="22"/>
  <c r="AF403" i="22"/>
  <c r="AE403" i="22"/>
  <c r="AD403" i="22"/>
  <c r="AL402" i="22"/>
  <c r="AK402" i="22"/>
  <c r="AJ402" i="22"/>
  <c r="AI402" i="22"/>
  <c r="AH402" i="22"/>
  <c r="AG402" i="22"/>
  <c r="AF402" i="22"/>
  <c r="AE402" i="22"/>
  <c r="AD402" i="22"/>
  <c r="AL401" i="22"/>
  <c r="AK401" i="22"/>
  <c r="AJ401" i="22"/>
  <c r="AI401" i="22"/>
  <c r="AH401" i="22"/>
  <c r="AG401" i="22"/>
  <c r="AF401" i="22"/>
  <c r="AE401" i="22"/>
  <c r="AD401" i="22"/>
  <c r="AL400" i="22"/>
  <c r="AK400" i="22"/>
  <c r="AJ400" i="22"/>
  <c r="AI400" i="22"/>
  <c r="AH400" i="22"/>
  <c r="AG400" i="22"/>
  <c r="AF400" i="22"/>
  <c r="AE400" i="22"/>
  <c r="AD400" i="22"/>
  <c r="AL398" i="22"/>
  <c r="AK398" i="22"/>
  <c r="AJ398" i="22"/>
  <c r="AI398" i="22"/>
  <c r="AH398" i="22"/>
  <c r="AG398" i="22"/>
  <c r="AF398" i="22"/>
  <c r="AE398" i="22"/>
  <c r="AD398" i="22"/>
  <c r="AL397" i="22"/>
  <c r="AK397" i="22"/>
  <c r="AJ397" i="22"/>
  <c r="AI397" i="22"/>
  <c r="AH397" i="22"/>
  <c r="AG397" i="22"/>
  <c r="AF397" i="22"/>
  <c r="AE397" i="22"/>
  <c r="AD397" i="22"/>
  <c r="AL396" i="22"/>
  <c r="AK396" i="22"/>
  <c r="AJ396" i="22"/>
  <c r="AI396" i="22"/>
  <c r="AH396" i="22"/>
  <c r="AG396" i="22"/>
  <c r="AF396" i="22"/>
  <c r="AE396" i="22"/>
  <c r="AD396" i="22"/>
  <c r="AL395" i="22"/>
  <c r="AK395" i="22"/>
  <c r="AJ395" i="22"/>
  <c r="AI395" i="22"/>
  <c r="AH395" i="22"/>
  <c r="AG395" i="22"/>
  <c r="AF395" i="22"/>
  <c r="AE395" i="22"/>
  <c r="AD395" i="22"/>
  <c r="AL394" i="22"/>
  <c r="AK394" i="22"/>
  <c r="AJ394" i="22"/>
  <c r="AI394" i="22"/>
  <c r="AH394" i="22"/>
  <c r="AG394" i="22"/>
  <c r="AF394" i="22"/>
  <c r="AE394" i="22"/>
  <c r="AD394" i="22"/>
  <c r="AL393" i="22"/>
  <c r="AK393" i="22"/>
  <c r="AJ393" i="22"/>
  <c r="AI393" i="22"/>
  <c r="AH393" i="22"/>
  <c r="AG393" i="22"/>
  <c r="AF393" i="22"/>
  <c r="AE393" i="22"/>
  <c r="AD393" i="22"/>
  <c r="AL392" i="22"/>
  <c r="AK392" i="22"/>
  <c r="AJ392" i="22"/>
  <c r="AI392" i="22"/>
  <c r="AH392" i="22"/>
  <c r="AG392" i="22"/>
  <c r="AF392" i="22"/>
  <c r="AE392" i="22"/>
  <c r="AD392" i="22"/>
  <c r="AL391" i="22"/>
  <c r="AK391" i="22"/>
  <c r="AJ391" i="22"/>
  <c r="AI391" i="22"/>
  <c r="AH391" i="22"/>
  <c r="AG391" i="22"/>
  <c r="AF391" i="22"/>
  <c r="AE391" i="22"/>
  <c r="AD391" i="22"/>
  <c r="AL390" i="22"/>
  <c r="AK390" i="22"/>
  <c r="AJ390" i="22"/>
  <c r="AI390" i="22"/>
  <c r="AH390" i="22"/>
  <c r="AG390" i="22"/>
  <c r="AF390" i="22"/>
  <c r="AE390" i="22"/>
  <c r="AD390" i="22"/>
  <c r="AL389" i="22"/>
  <c r="AK389" i="22"/>
  <c r="AJ389" i="22"/>
  <c r="AI389" i="22"/>
  <c r="AH389" i="22"/>
  <c r="AG389" i="22"/>
  <c r="AF389" i="22"/>
  <c r="AE389" i="22"/>
  <c r="AD389" i="22"/>
  <c r="AL388" i="22"/>
  <c r="AK388" i="22"/>
  <c r="AJ388" i="22"/>
  <c r="AI388" i="22"/>
  <c r="AH388" i="22"/>
  <c r="AG388" i="22"/>
  <c r="AF388" i="22"/>
  <c r="AE388" i="22"/>
  <c r="AD388" i="22"/>
  <c r="AL387" i="22"/>
  <c r="AK387" i="22"/>
  <c r="AJ387" i="22"/>
  <c r="AI387" i="22"/>
  <c r="AH387" i="22"/>
  <c r="AG387" i="22"/>
  <c r="AF387" i="22"/>
  <c r="AE387" i="22"/>
  <c r="AD387" i="22"/>
  <c r="AL386" i="22"/>
  <c r="AK386" i="22"/>
  <c r="AJ386" i="22"/>
  <c r="AI386" i="22"/>
  <c r="AH386" i="22"/>
  <c r="AG386" i="22"/>
  <c r="AF386" i="22"/>
  <c r="AE386" i="22"/>
  <c r="AD386" i="22"/>
  <c r="AL385" i="22"/>
  <c r="AK385" i="22"/>
  <c r="AJ385" i="22"/>
  <c r="AI385" i="22"/>
  <c r="AH385" i="22"/>
  <c r="AG385" i="22"/>
  <c r="AF385" i="22"/>
  <c r="AE385" i="22"/>
  <c r="AD385" i="22"/>
  <c r="AL384" i="22"/>
  <c r="AK384" i="22"/>
  <c r="AJ384" i="22"/>
  <c r="AI384" i="22"/>
  <c r="AH384" i="22"/>
  <c r="AG384" i="22"/>
  <c r="AF384" i="22"/>
  <c r="AE384" i="22"/>
  <c r="AD384" i="22"/>
  <c r="AL383" i="22"/>
  <c r="AK383" i="22"/>
  <c r="AJ383" i="22"/>
  <c r="AI383" i="22"/>
  <c r="AH383" i="22"/>
  <c r="AG383" i="22"/>
  <c r="AF383" i="22"/>
  <c r="AE383" i="22"/>
  <c r="AD383" i="22"/>
  <c r="AL382" i="22"/>
  <c r="AK382" i="22"/>
  <c r="AJ382" i="22"/>
  <c r="AI382" i="22"/>
  <c r="AH382" i="22"/>
  <c r="AG382" i="22"/>
  <c r="AF382" i="22"/>
  <c r="AE382" i="22"/>
  <c r="AD382" i="22"/>
  <c r="AL381" i="22"/>
  <c r="AK381" i="22"/>
  <c r="AJ381" i="22"/>
  <c r="AI381" i="22"/>
  <c r="AH381" i="22"/>
  <c r="AG381" i="22"/>
  <c r="AF381" i="22"/>
  <c r="AE381" i="22"/>
  <c r="AD381" i="22"/>
  <c r="AL380" i="22"/>
  <c r="AK380" i="22"/>
  <c r="AJ380" i="22"/>
  <c r="AI380" i="22"/>
  <c r="AH380" i="22"/>
  <c r="AG380" i="22"/>
  <c r="AF380" i="22"/>
  <c r="AE380" i="22"/>
  <c r="AD380" i="22"/>
  <c r="AL379" i="22"/>
  <c r="AK379" i="22"/>
  <c r="AJ379" i="22"/>
  <c r="AI379" i="22"/>
  <c r="AH379" i="22"/>
  <c r="AG379" i="22"/>
  <c r="AF379" i="22"/>
  <c r="AE379" i="22"/>
  <c r="AD379" i="22"/>
  <c r="AL378" i="22"/>
  <c r="AK378" i="22"/>
  <c r="AJ378" i="22"/>
  <c r="AI378" i="22"/>
  <c r="AH378" i="22"/>
  <c r="AG378" i="22"/>
  <c r="AF378" i="22"/>
  <c r="AE378" i="22"/>
  <c r="AD378" i="22"/>
  <c r="AL377" i="22"/>
  <c r="AK377" i="22"/>
  <c r="AJ377" i="22"/>
  <c r="AI377" i="22"/>
  <c r="AH377" i="22"/>
  <c r="AG377" i="22"/>
  <c r="AF377" i="22"/>
  <c r="AE377" i="22"/>
  <c r="AD377" i="22"/>
  <c r="AL376" i="22"/>
  <c r="AK376" i="22"/>
  <c r="AJ376" i="22"/>
  <c r="AI376" i="22"/>
  <c r="AH376" i="22"/>
  <c r="AG376" i="22"/>
  <c r="AF376" i="22"/>
  <c r="AE376" i="22"/>
  <c r="AD376" i="22"/>
  <c r="AL375" i="22"/>
  <c r="AK375" i="22"/>
  <c r="AJ375" i="22"/>
  <c r="AI375" i="22"/>
  <c r="AH375" i="22"/>
  <c r="AG375" i="22"/>
  <c r="AF375" i="22"/>
  <c r="AE375" i="22"/>
  <c r="AD375" i="22"/>
  <c r="AL374" i="22"/>
  <c r="AK374" i="22"/>
  <c r="AJ374" i="22"/>
  <c r="AI374" i="22"/>
  <c r="AH374" i="22"/>
  <c r="AG374" i="22"/>
  <c r="AF374" i="22"/>
  <c r="AE374" i="22"/>
  <c r="AD374" i="22"/>
  <c r="AL373" i="22"/>
  <c r="AK373" i="22"/>
  <c r="AJ373" i="22"/>
  <c r="AI373" i="22"/>
  <c r="AH373" i="22"/>
  <c r="AG373" i="22"/>
  <c r="AF373" i="22"/>
  <c r="AE373" i="22"/>
  <c r="AD373" i="22"/>
  <c r="AL372" i="22"/>
  <c r="AK372" i="22"/>
  <c r="AJ372" i="22"/>
  <c r="AI372" i="22"/>
  <c r="AH372" i="22"/>
  <c r="AG372" i="22"/>
  <c r="AF372" i="22"/>
  <c r="AE372" i="22"/>
  <c r="AD372" i="22"/>
  <c r="AL371" i="22"/>
  <c r="AK371" i="22"/>
  <c r="AJ371" i="22"/>
  <c r="AI371" i="22"/>
  <c r="AH371" i="22"/>
  <c r="AG371" i="22"/>
  <c r="AF371" i="22"/>
  <c r="AE371" i="22"/>
  <c r="AD371" i="22"/>
  <c r="AL370" i="22"/>
  <c r="AK370" i="22"/>
  <c r="AJ370" i="22"/>
  <c r="AI370" i="22"/>
  <c r="AH370" i="22"/>
  <c r="AG370" i="22"/>
  <c r="AF370" i="22"/>
  <c r="AE370" i="22"/>
  <c r="AD370" i="22"/>
  <c r="AL369" i="22"/>
  <c r="AK369" i="22"/>
  <c r="AJ369" i="22"/>
  <c r="AI369" i="22"/>
  <c r="AH369" i="22"/>
  <c r="AG369" i="22"/>
  <c r="AF369" i="22"/>
  <c r="AE369" i="22"/>
  <c r="AD369" i="22"/>
  <c r="AL368" i="22"/>
  <c r="AK368" i="22"/>
  <c r="AJ368" i="22"/>
  <c r="AI368" i="22"/>
  <c r="AH368" i="22"/>
  <c r="AG368" i="22"/>
  <c r="AF368" i="22"/>
  <c r="AE368" i="22"/>
  <c r="AD368" i="22"/>
  <c r="AL367" i="22"/>
  <c r="AK367" i="22"/>
  <c r="AJ367" i="22"/>
  <c r="AI367" i="22"/>
  <c r="AH367" i="22"/>
  <c r="AG367" i="22"/>
  <c r="AF367" i="22"/>
  <c r="AE367" i="22"/>
  <c r="AD367" i="22"/>
  <c r="AL366" i="22"/>
  <c r="AK366" i="22"/>
  <c r="AJ366" i="22"/>
  <c r="AI366" i="22"/>
  <c r="AH366" i="22"/>
  <c r="AG366" i="22"/>
  <c r="AF366" i="22"/>
  <c r="AE366" i="22"/>
  <c r="AD366" i="22"/>
  <c r="AL365" i="22"/>
  <c r="AK365" i="22"/>
  <c r="AJ365" i="22"/>
  <c r="AI365" i="22"/>
  <c r="AH365" i="22"/>
  <c r="AG365" i="22"/>
  <c r="AF365" i="22"/>
  <c r="AE365" i="22"/>
  <c r="AD365" i="22"/>
  <c r="AL364" i="22"/>
  <c r="AK364" i="22"/>
  <c r="AJ364" i="22"/>
  <c r="AI364" i="22"/>
  <c r="AH364" i="22"/>
  <c r="AG364" i="22"/>
  <c r="AF364" i="22"/>
  <c r="AE364" i="22"/>
  <c r="AD364" i="22"/>
  <c r="AL363" i="22"/>
  <c r="AK363" i="22"/>
  <c r="AJ363" i="22"/>
  <c r="AI363" i="22"/>
  <c r="AH363" i="22"/>
  <c r="AG363" i="22"/>
  <c r="AF363" i="22"/>
  <c r="AE363" i="22"/>
  <c r="AD363" i="22"/>
  <c r="AL362" i="22"/>
  <c r="AK362" i="22"/>
  <c r="AJ362" i="22"/>
  <c r="AI362" i="22"/>
  <c r="AH362" i="22"/>
  <c r="AG362" i="22"/>
  <c r="AF362" i="22"/>
  <c r="AE362" i="22"/>
  <c r="AD362" i="22"/>
  <c r="AL361" i="22"/>
  <c r="AK361" i="22"/>
  <c r="AJ361" i="22"/>
  <c r="AI361" i="22"/>
  <c r="AH361" i="22"/>
  <c r="AG361" i="22"/>
  <c r="AF361" i="22"/>
  <c r="AE361" i="22"/>
  <c r="AD361" i="22"/>
  <c r="AL360" i="22"/>
  <c r="AK360" i="22"/>
  <c r="AJ360" i="22"/>
  <c r="AI360" i="22"/>
  <c r="AH360" i="22"/>
  <c r="AG360" i="22"/>
  <c r="AF360" i="22"/>
  <c r="AE360" i="22"/>
  <c r="AD360" i="22"/>
  <c r="AL359" i="22"/>
  <c r="AK359" i="22"/>
  <c r="AJ359" i="22"/>
  <c r="AI359" i="22"/>
  <c r="AH359" i="22"/>
  <c r="AG359" i="22"/>
  <c r="AF359" i="22"/>
  <c r="AE359" i="22"/>
  <c r="AD359" i="22"/>
  <c r="AL357" i="22"/>
  <c r="AK357" i="22"/>
  <c r="AJ357" i="22"/>
  <c r="AI357" i="22"/>
  <c r="AH357" i="22"/>
  <c r="AG357" i="22"/>
  <c r="AF357" i="22"/>
  <c r="AE357" i="22"/>
  <c r="AD357" i="22"/>
  <c r="AL356" i="22"/>
  <c r="AK356" i="22"/>
  <c r="AJ356" i="22"/>
  <c r="AI356" i="22"/>
  <c r="AH356" i="22"/>
  <c r="AG356" i="22"/>
  <c r="AF356" i="22"/>
  <c r="AE356" i="22"/>
  <c r="AD356" i="22"/>
  <c r="AL355" i="22"/>
  <c r="AK355" i="22"/>
  <c r="AJ355" i="22"/>
  <c r="AI355" i="22"/>
  <c r="AH355" i="22"/>
  <c r="AG355" i="22"/>
  <c r="AF355" i="22"/>
  <c r="AE355" i="22"/>
  <c r="AD355" i="22"/>
  <c r="AL354" i="22"/>
  <c r="AK354" i="22"/>
  <c r="AJ354" i="22"/>
  <c r="AI354" i="22"/>
  <c r="AH354" i="22"/>
  <c r="AG354" i="22"/>
  <c r="AF354" i="22"/>
  <c r="AE354" i="22"/>
  <c r="AD354" i="22"/>
  <c r="AL353" i="22"/>
  <c r="AK353" i="22"/>
  <c r="AJ353" i="22"/>
  <c r="AI353" i="22"/>
  <c r="AH353" i="22"/>
  <c r="AG353" i="22"/>
  <c r="AF353" i="22"/>
  <c r="AE353" i="22"/>
  <c r="AD353" i="22"/>
  <c r="AL352" i="22"/>
  <c r="AK352" i="22"/>
  <c r="AJ352" i="22"/>
  <c r="AI352" i="22"/>
  <c r="AH352" i="22"/>
  <c r="AG352" i="22"/>
  <c r="AF352" i="22"/>
  <c r="AE352" i="22"/>
  <c r="AD352" i="22"/>
  <c r="AL351" i="22"/>
  <c r="AK351" i="22"/>
  <c r="AJ351" i="22"/>
  <c r="AI351" i="22"/>
  <c r="AH351" i="22"/>
  <c r="AG351" i="22"/>
  <c r="AF351" i="22"/>
  <c r="AE351" i="22"/>
  <c r="AD351" i="22"/>
  <c r="AL350" i="22"/>
  <c r="AK350" i="22"/>
  <c r="AJ350" i="22"/>
  <c r="AI350" i="22"/>
  <c r="AH350" i="22"/>
  <c r="AG350" i="22"/>
  <c r="AF350" i="22"/>
  <c r="AE350" i="22"/>
  <c r="AD350" i="22"/>
  <c r="AL349" i="22"/>
  <c r="AK349" i="22"/>
  <c r="AJ349" i="22"/>
  <c r="AI349" i="22"/>
  <c r="AH349" i="22"/>
  <c r="AG349" i="22"/>
  <c r="AF349" i="22"/>
  <c r="AE349" i="22"/>
  <c r="AD349" i="22"/>
  <c r="AL348" i="22"/>
  <c r="AK348" i="22"/>
  <c r="AJ348" i="22"/>
  <c r="AI348" i="22"/>
  <c r="AH348" i="22"/>
  <c r="AG348" i="22"/>
  <c r="AF348" i="22"/>
  <c r="AE348" i="22"/>
  <c r="AD348" i="22"/>
  <c r="AL347" i="22"/>
  <c r="AK347" i="22"/>
  <c r="AJ347" i="22"/>
  <c r="AI347" i="22"/>
  <c r="AH347" i="22"/>
  <c r="AG347" i="22"/>
  <c r="AF347" i="22"/>
  <c r="AE347" i="22"/>
  <c r="AD347" i="22"/>
  <c r="AL346" i="22"/>
  <c r="AK346" i="22"/>
  <c r="AJ346" i="22"/>
  <c r="AI346" i="22"/>
  <c r="AH346" i="22"/>
  <c r="AG346" i="22"/>
  <c r="AF346" i="22"/>
  <c r="AE346" i="22"/>
  <c r="AD346" i="22"/>
  <c r="AL345" i="22"/>
  <c r="AK345" i="22"/>
  <c r="AJ345" i="22"/>
  <c r="AI345" i="22"/>
  <c r="AH345" i="22"/>
  <c r="AG345" i="22"/>
  <c r="AF345" i="22"/>
  <c r="AE345" i="22"/>
  <c r="AD345" i="22"/>
  <c r="AL344" i="22"/>
  <c r="AK344" i="22"/>
  <c r="AJ344" i="22"/>
  <c r="AI344" i="22"/>
  <c r="AH344" i="22"/>
  <c r="AG344" i="22"/>
  <c r="AF344" i="22"/>
  <c r="AE344" i="22"/>
  <c r="AD344" i="22"/>
  <c r="AL343" i="22"/>
  <c r="AK343" i="22"/>
  <c r="AJ343" i="22"/>
  <c r="AI343" i="22"/>
  <c r="AH343" i="22"/>
  <c r="AG343" i="22"/>
  <c r="AF343" i="22"/>
  <c r="AE343" i="22"/>
  <c r="AD343" i="22"/>
  <c r="AL342" i="22"/>
  <c r="AK342" i="22"/>
  <c r="AJ342" i="22"/>
  <c r="AI342" i="22"/>
  <c r="AH342" i="22"/>
  <c r="AG342" i="22"/>
  <c r="AF342" i="22"/>
  <c r="AE342" i="22"/>
  <c r="AD342" i="22"/>
  <c r="AL341" i="22"/>
  <c r="AK341" i="22"/>
  <c r="AJ341" i="22"/>
  <c r="AI341" i="22"/>
  <c r="AH341" i="22"/>
  <c r="AG341" i="22"/>
  <c r="AF341" i="22"/>
  <c r="AE341" i="22"/>
  <c r="AD341" i="22"/>
  <c r="AL340" i="22"/>
  <c r="AK340" i="22"/>
  <c r="AJ340" i="22"/>
  <c r="AI340" i="22"/>
  <c r="AH340" i="22"/>
  <c r="AG340" i="22"/>
  <c r="AF340" i="22"/>
  <c r="AE340" i="22"/>
  <c r="AD340" i="22"/>
  <c r="AL339" i="22"/>
  <c r="AK339" i="22"/>
  <c r="AJ339" i="22"/>
  <c r="AI339" i="22"/>
  <c r="AH339" i="22"/>
  <c r="AG339" i="22"/>
  <c r="AF339" i="22"/>
  <c r="AE339" i="22"/>
  <c r="AD339" i="22"/>
  <c r="AL338" i="22"/>
  <c r="AK338" i="22"/>
  <c r="AJ338" i="22"/>
  <c r="AI338" i="22"/>
  <c r="AH338" i="22"/>
  <c r="AG338" i="22"/>
  <c r="AF338" i="22"/>
  <c r="AE338" i="22"/>
  <c r="AD338" i="22"/>
  <c r="AL337" i="22"/>
  <c r="AK337" i="22"/>
  <c r="AJ337" i="22"/>
  <c r="AI337" i="22"/>
  <c r="AH337" i="22"/>
  <c r="AG337" i="22"/>
  <c r="AF337" i="22"/>
  <c r="AE337" i="22"/>
  <c r="AD337" i="22"/>
  <c r="AL336" i="22"/>
  <c r="AK336" i="22"/>
  <c r="AJ336" i="22"/>
  <c r="AI336" i="22"/>
  <c r="AH336" i="22"/>
  <c r="AG336" i="22"/>
  <c r="AF336" i="22"/>
  <c r="AE336" i="22"/>
  <c r="AD336" i="22"/>
  <c r="AL335" i="22"/>
  <c r="AK335" i="22"/>
  <c r="AJ335" i="22"/>
  <c r="AI335" i="22"/>
  <c r="AH335" i="22"/>
  <c r="AG335" i="22"/>
  <c r="AF335" i="22"/>
  <c r="AE335" i="22"/>
  <c r="AD335" i="22"/>
  <c r="AL334" i="22"/>
  <c r="AK334" i="22"/>
  <c r="AJ334" i="22"/>
  <c r="AI334" i="22"/>
  <c r="AH334" i="22"/>
  <c r="AG334" i="22"/>
  <c r="AF334" i="22"/>
  <c r="AE334" i="22"/>
  <c r="AD334" i="22"/>
  <c r="AL333" i="22"/>
  <c r="AK333" i="22"/>
  <c r="AJ333" i="22"/>
  <c r="AI333" i="22"/>
  <c r="AH333" i="22"/>
  <c r="AG333" i="22"/>
  <c r="AF333" i="22"/>
  <c r="AE333" i="22"/>
  <c r="AD333" i="22"/>
  <c r="AL332" i="22"/>
  <c r="AK332" i="22"/>
  <c r="AJ332" i="22"/>
  <c r="AI332" i="22"/>
  <c r="AH332" i="22"/>
  <c r="AG332" i="22"/>
  <c r="AF332" i="22"/>
  <c r="AE332" i="22"/>
  <c r="AD332" i="22"/>
  <c r="AL331" i="22"/>
  <c r="AK331" i="22"/>
  <c r="AJ331" i="22"/>
  <c r="AI331" i="22"/>
  <c r="AH331" i="22"/>
  <c r="AG331" i="22"/>
  <c r="AF331" i="22"/>
  <c r="AE331" i="22"/>
  <c r="AD331" i="22"/>
  <c r="AL330" i="22"/>
  <c r="AK330" i="22"/>
  <c r="AJ330" i="22"/>
  <c r="AI330" i="22"/>
  <c r="AH330" i="22"/>
  <c r="AG330" i="22"/>
  <c r="AF330" i="22"/>
  <c r="AE330" i="22"/>
  <c r="AD330" i="22"/>
  <c r="AL329" i="22"/>
  <c r="AK329" i="22"/>
  <c r="AJ329" i="22"/>
  <c r="AI329" i="22"/>
  <c r="AH329" i="22"/>
  <c r="AG329" i="22"/>
  <c r="AF329" i="22"/>
  <c r="AE329" i="22"/>
  <c r="AD329" i="22"/>
  <c r="AL328" i="22"/>
  <c r="AK328" i="22"/>
  <c r="AJ328" i="22"/>
  <c r="AI328" i="22"/>
  <c r="AH328" i="22"/>
  <c r="AG328" i="22"/>
  <c r="AF328" i="22"/>
  <c r="AE328" i="22"/>
  <c r="AD328" i="22"/>
  <c r="AL327" i="22"/>
  <c r="AK327" i="22"/>
  <c r="AJ327" i="22"/>
  <c r="AI327" i="22"/>
  <c r="AH327" i="22"/>
  <c r="AG327" i="22"/>
  <c r="AF327" i="22"/>
  <c r="AE327" i="22"/>
  <c r="AD327" i="22"/>
  <c r="AL326" i="22"/>
  <c r="AK326" i="22"/>
  <c r="AJ326" i="22"/>
  <c r="AI326" i="22"/>
  <c r="AH326" i="22"/>
  <c r="AG326" i="22"/>
  <c r="AF326" i="22"/>
  <c r="AE326" i="22"/>
  <c r="AD326" i="22"/>
  <c r="AL325" i="22"/>
  <c r="AK325" i="22"/>
  <c r="AJ325" i="22"/>
  <c r="AI325" i="22"/>
  <c r="AH325" i="22"/>
  <c r="AG325" i="22"/>
  <c r="AF325" i="22"/>
  <c r="AE325" i="22"/>
  <c r="AD325" i="22"/>
  <c r="AL324" i="22"/>
  <c r="AK324" i="22"/>
  <c r="AJ324" i="22"/>
  <c r="AI324" i="22"/>
  <c r="AH324" i="22"/>
  <c r="AG324" i="22"/>
  <c r="AF324" i="22"/>
  <c r="AE324" i="22"/>
  <c r="AD324" i="22"/>
  <c r="AL323" i="22"/>
  <c r="AK323" i="22"/>
  <c r="AJ323" i="22"/>
  <c r="AI323" i="22"/>
  <c r="AH323" i="22"/>
  <c r="AG323" i="22"/>
  <c r="AF323" i="22"/>
  <c r="AE323" i="22"/>
  <c r="AD323" i="22"/>
  <c r="AL322" i="22"/>
  <c r="AK322" i="22"/>
  <c r="AJ322" i="22"/>
  <c r="AI322" i="22"/>
  <c r="AH322" i="22"/>
  <c r="AG322" i="22"/>
  <c r="AF322" i="22"/>
  <c r="AE322" i="22"/>
  <c r="AD322" i="22"/>
  <c r="AL321" i="22"/>
  <c r="AK321" i="22"/>
  <c r="AJ321" i="22"/>
  <c r="AI321" i="22"/>
  <c r="AH321" i="22"/>
  <c r="AG321" i="22"/>
  <c r="AF321" i="22"/>
  <c r="AE321" i="22"/>
  <c r="AD321" i="22"/>
  <c r="AL320" i="22"/>
  <c r="AK320" i="22"/>
  <c r="AJ320" i="22"/>
  <c r="AI320" i="22"/>
  <c r="AH320" i="22"/>
  <c r="AG320" i="22"/>
  <c r="AF320" i="22"/>
  <c r="AE320" i="22"/>
  <c r="AD320" i="22"/>
  <c r="AL319" i="22"/>
  <c r="AK319" i="22"/>
  <c r="AJ319" i="22"/>
  <c r="AI319" i="22"/>
  <c r="AH319" i="22"/>
  <c r="AG319" i="22"/>
  <c r="AF319" i="22"/>
  <c r="AE319" i="22"/>
  <c r="AD319" i="22"/>
  <c r="AL318" i="22"/>
  <c r="AK318" i="22"/>
  <c r="AJ318" i="22"/>
  <c r="AI318" i="22"/>
  <c r="AH318" i="22"/>
  <c r="AG318" i="22"/>
  <c r="AF318" i="22"/>
  <c r="AE318" i="22"/>
  <c r="AD318" i="22"/>
  <c r="AL316" i="22"/>
  <c r="AK316" i="22"/>
  <c r="AJ316" i="22"/>
  <c r="AI316" i="22"/>
  <c r="AH316" i="22"/>
  <c r="AG316" i="22"/>
  <c r="AF316" i="22"/>
  <c r="AE316" i="22"/>
  <c r="AD316" i="22"/>
  <c r="AL315" i="22"/>
  <c r="AK315" i="22"/>
  <c r="AJ315" i="22"/>
  <c r="AI315" i="22"/>
  <c r="AH315" i="22"/>
  <c r="AG315" i="22"/>
  <c r="AF315" i="22"/>
  <c r="AE315" i="22"/>
  <c r="AD315" i="22"/>
  <c r="AL314" i="22"/>
  <c r="AK314" i="22"/>
  <c r="AJ314" i="22"/>
  <c r="AI314" i="22"/>
  <c r="AH314" i="22"/>
  <c r="AG314" i="22"/>
  <c r="AF314" i="22"/>
  <c r="AE314" i="22"/>
  <c r="AD314" i="22"/>
  <c r="AL313" i="22"/>
  <c r="AK313" i="22"/>
  <c r="AJ313" i="22"/>
  <c r="AI313" i="22"/>
  <c r="AH313" i="22"/>
  <c r="AG313" i="22"/>
  <c r="AF313" i="22"/>
  <c r="AE313" i="22"/>
  <c r="AD313" i="22"/>
  <c r="AL312" i="22"/>
  <c r="AK312" i="22"/>
  <c r="AJ312" i="22"/>
  <c r="AI312" i="22"/>
  <c r="AH312" i="22"/>
  <c r="AG312" i="22"/>
  <c r="AF312" i="22"/>
  <c r="AE312" i="22"/>
  <c r="AD312" i="22"/>
  <c r="AL311" i="22"/>
  <c r="AK311" i="22"/>
  <c r="AJ311" i="22"/>
  <c r="AI311" i="22"/>
  <c r="AH311" i="22"/>
  <c r="AG311" i="22"/>
  <c r="AF311" i="22"/>
  <c r="AE311" i="22"/>
  <c r="AD311" i="22"/>
  <c r="AL310" i="22"/>
  <c r="AK310" i="22"/>
  <c r="AJ310" i="22"/>
  <c r="AI310" i="22"/>
  <c r="AH310" i="22"/>
  <c r="AG310" i="22"/>
  <c r="AF310" i="22"/>
  <c r="AE310" i="22"/>
  <c r="AD310" i="22"/>
  <c r="AL309" i="22"/>
  <c r="AK309" i="22"/>
  <c r="AJ309" i="22"/>
  <c r="AI309" i="22"/>
  <c r="AH309" i="22"/>
  <c r="AG309" i="22"/>
  <c r="AF309" i="22"/>
  <c r="AE309" i="22"/>
  <c r="AD309" i="22"/>
  <c r="AL308" i="22"/>
  <c r="AK308" i="22"/>
  <c r="AJ308" i="22"/>
  <c r="AI308" i="22"/>
  <c r="AH308" i="22"/>
  <c r="AG308" i="22"/>
  <c r="AF308" i="22"/>
  <c r="AE308" i="22"/>
  <c r="AD308" i="22"/>
  <c r="AL307" i="22"/>
  <c r="AK307" i="22"/>
  <c r="AJ307" i="22"/>
  <c r="AI307" i="22"/>
  <c r="AH307" i="22"/>
  <c r="AG307" i="22"/>
  <c r="AF307" i="22"/>
  <c r="AE307" i="22"/>
  <c r="AD307" i="22"/>
  <c r="AL306" i="22"/>
  <c r="AK306" i="22"/>
  <c r="AJ306" i="22"/>
  <c r="AI306" i="22"/>
  <c r="AH306" i="22"/>
  <c r="AG306" i="22"/>
  <c r="AF306" i="22"/>
  <c r="AE306" i="22"/>
  <c r="AD306" i="22"/>
  <c r="AL305" i="22"/>
  <c r="AK305" i="22"/>
  <c r="AJ305" i="22"/>
  <c r="AI305" i="22"/>
  <c r="AH305" i="22"/>
  <c r="AG305" i="22"/>
  <c r="AF305" i="22"/>
  <c r="AE305" i="22"/>
  <c r="AD305" i="22"/>
  <c r="AL304" i="22"/>
  <c r="AK304" i="22"/>
  <c r="AJ304" i="22"/>
  <c r="AI304" i="22"/>
  <c r="AH304" i="22"/>
  <c r="AG304" i="22"/>
  <c r="AF304" i="22"/>
  <c r="AE304" i="22"/>
  <c r="AD304" i="22"/>
  <c r="AL303" i="22"/>
  <c r="AK303" i="22"/>
  <c r="AJ303" i="22"/>
  <c r="AI303" i="22"/>
  <c r="AH303" i="22"/>
  <c r="AG303" i="22"/>
  <c r="AF303" i="22"/>
  <c r="AE303" i="22"/>
  <c r="AD303" i="22"/>
  <c r="AL302" i="22"/>
  <c r="AK302" i="22"/>
  <c r="AJ302" i="22"/>
  <c r="AI302" i="22"/>
  <c r="AH302" i="22"/>
  <c r="AG302" i="22"/>
  <c r="AF302" i="22"/>
  <c r="AE302" i="22"/>
  <c r="AD302" i="22"/>
  <c r="AL301" i="22"/>
  <c r="AK301" i="22"/>
  <c r="AJ301" i="22"/>
  <c r="AI301" i="22"/>
  <c r="AH301" i="22"/>
  <c r="AG301" i="22"/>
  <c r="AF301" i="22"/>
  <c r="AE301" i="22"/>
  <c r="AD301" i="22"/>
  <c r="AL300" i="22"/>
  <c r="AK300" i="22"/>
  <c r="AJ300" i="22"/>
  <c r="AI300" i="22"/>
  <c r="AH300" i="22"/>
  <c r="AG300" i="22"/>
  <c r="AF300" i="22"/>
  <c r="AE300" i="22"/>
  <c r="AD300" i="22"/>
  <c r="AL299" i="22"/>
  <c r="AK299" i="22"/>
  <c r="AJ299" i="22"/>
  <c r="AI299" i="22"/>
  <c r="AH299" i="22"/>
  <c r="AG299" i="22"/>
  <c r="AF299" i="22"/>
  <c r="AE299" i="22"/>
  <c r="AD299" i="22"/>
  <c r="AL298" i="22"/>
  <c r="AK298" i="22"/>
  <c r="AJ298" i="22"/>
  <c r="AI298" i="22"/>
  <c r="AH298" i="22"/>
  <c r="AG298" i="22"/>
  <c r="AF298" i="22"/>
  <c r="AE298" i="22"/>
  <c r="AD298" i="22"/>
  <c r="AL297" i="22"/>
  <c r="AK297" i="22"/>
  <c r="AJ297" i="22"/>
  <c r="AI297" i="22"/>
  <c r="AH297" i="22"/>
  <c r="AG297" i="22"/>
  <c r="AF297" i="22"/>
  <c r="AE297" i="22"/>
  <c r="AD297" i="22"/>
  <c r="AL296" i="22"/>
  <c r="AK296" i="22"/>
  <c r="AJ296" i="22"/>
  <c r="AI296" i="22"/>
  <c r="AH296" i="22"/>
  <c r="AG296" i="22"/>
  <c r="AF296" i="22"/>
  <c r="AE296" i="22"/>
  <c r="AD296" i="22"/>
  <c r="AL295" i="22"/>
  <c r="AK295" i="22"/>
  <c r="AJ295" i="22"/>
  <c r="AI295" i="22"/>
  <c r="AH295" i="22"/>
  <c r="AG295" i="22"/>
  <c r="AF295" i="22"/>
  <c r="AE295" i="22"/>
  <c r="AD295" i="22"/>
  <c r="AL294" i="22"/>
  <c r="AK294" i="22"/>
  <c r="AJ294" i="22"/>
  <c r="AI294" i="22"/>
  <c r="AH294" i="22"/>
  <c r="AG294" i="22"/>
  <c r="AF294" i="22"/>
  <c r="AE294" i="22"/>
  <c r="AD294" i="22"/>
  <c r="AL293" i="22"/>
  <c r="AK293" i="22"/>
  <c r="AJ293" i="22"/>
  <c r="AI293" i="22"/>
  <c r="AH293" i="22"/>
  <c r="AG293" i="22"/>
  <c r="AF293" i="22"/>
  <c r="AE293" i="22"/>
  <c r="AD293" i="22"/>
  <c r="AL292" i="22"/>
  <c r="AK292" i="22"/>
  <c r="AJ292" i="22"/>
  <c r="AI292" i="22"/>
  <c r="AH292" i="22"/>
  <c r="AG292" i="22"/>
  <c r="AF292" i="22"/>
  <c r="AE292" i="22"/>
  <c r="AD292" i="22"/>
  <c r="AL291" i="22"/>
  <c r="AK291" i="22"/>
  <c r="AJ291" i="22"/>
  <c r="AI291" i="22"/>
  <c r="AH291" i="22"/>
  <c r="AG291" i="22"/>
  <c r="AF291" i="22"/>
  <c r="AE291" i="22"/>
  <c r="AD291" i="22"/>
  <c r="AL290" i="22"/>
  <c r="AK290" i="22"/>
  <c r="AJ290" i="22"/>
  <c r="AI290" i="22"/>
  <c r="AH290" i="22"/>
  <c r="AG290" i="22"/>
  <c r="AF290" i="22"/>
  <c r="AE290" i="22"/>
  <c r="AD290" i="22"/>
  <c r="AL289" i="22"/>
  <c r="AK289" i="22"/>
  <c r="AJ289" i="22"/>
  <c r="AI289" i="22"/>
  <c r="AH289" i="22"/>
  <c r="AG289" i="22"/>
  <c r="AF289" i="22"/>
  <c r="AE289" i="22"/>
  <c r="AD289" i="22"/>
  <c r="AL288" i="22"/>
  <c r="AK288" i="22"/>
  <c r="AJ288" i="22"/>
  <c r="AI288" i="22"/>
  <c r="AH288" i="22"/>
  <c r="AG288" i="22"/>
  <c r="AF288" i="22"/>
  <c r="AE288" i="22"/>
  <c r="AD288" i="22"/>
  <c r="AL287" i="22"/>
  <c r="AK287" i="22"/>
  <c r="AJ287" i="22"/>
  <c r="AI287" i="22"/>
  <c r="AH287" i="22"/>
  <c r="AG287" i="22"/>
  <c r="AF287" i="22"/>
  <c r="AE287" i="22"/>
  <c r="AD287" i="22"/>
  <c r="AL286" i="22"/>
  <c r="AK286" i="22"/>
  <c r="AJ286" i="22"/>
  <c r="AI286" i="22"/>
  <c r="AH286" i="22"/>
  <c r="AG286" i="22"/>
  <c r="AF286" i="22"/>
  <c r="AE286" i="22"/>
  <c r="AD286" i="22"/>
  <c r="AL285" i="22"/>
  <c r="AK285" i="22"/>
  <c r="AJ285" i="22"/>
  <c r="AI285" i="22"/>
  <c r="AH285" i="22"/>
  <c r="AG285" i="22"/>
  <c r="AF285" i="22"/>
  <c r="AE285" i="22"/>
  <c r="AD285" i="22"/>
  <c r="AL284" i="22"/>
  <c r="AK284" i="22"/>
  <c r="AJ284" i="22"/>
  <c r="AI284" i="22"/>
  <c r="AH284" i="22"/>
  <c r="AG284" i="22"/>
  <c r="AF284" i="22"/>
  <c r="AE284" i="22"/>
  <c r="AD284" i="22"/>
  <c r="AL283" i="22"/>
  <c r="AK283" i="22"/>
  <c r="AJ283" i="22"/>
  <c r="AI283" i="22"/>
  <c r="AH283" i="22"/>
  <c r="AG283" i="22"/>
  <c r="AF283" i="22"/>
  <c r="AE283" i="22"/>
  <c r="AD283" i="22"/>
  <c r="AL282" i="22"/>
  <c r="AK282" i="22"/>
  <c r="AJ282" i="22"/>
  <c r="AI282" i="22"/>
  <c r="AH282" i="22"/>
  <c r="AG282" i="22"/>
  <c r="AF282" i="22"/>
  <c r="AE282" i="22"/>
  <c r="AD282" i="22"/>
  <c r="AL281" i="22"/>
  <c r="AK281" i="22"/>
  <c r="AJ281" i="22"/>
  <c r="AI281" i="22"/>
  <c r="AH281" i="22"/>
  <c r="AG281" i="22"/>
  <c r="AF281" i="22"/>
  <c r="AE281" i="22"/>
  <c r="AD281" i="22"/>
  <c r="AL280" i="22"/>
  <c r="AK280" i="22"/>
  <c r="AJ280" i="22"/>
  <c r="AI280" i="22"/>
  <c r="AH280" i="22"/>
  <c r="AG280" i="22"/>
  <c r="AF280" i="22"/>
  <c r="AE280" i="22"/>
  <c r="AD280" i="22"/>
  <c r="AL279" i="22"/>
  <c r="AK279" i="22"/>
  <c r="AJ279" i="22"/>
  <c r="AI279" i="22"/>
  <c r="AH279" i="22"/>
  <c r="AG279" i="22"/>
  <c r="AF279" i="22"/>
  <c r="AE279" i="22"/>
  <c r="AD279" i="22"/>
  <c r="AL278" i="22"/>
  <c r="AK278" i="22"/>
  <c r="AJ278" i="22"/>
  <c r="AI278" i="22"/>
  <c r="AH278" i="22"/>
  <c r="AG278" i="22"/>
  <c r="AF278" i="22"/>
  <c r="AE278" i="22"/>
  <c r="AD278" i="22"/>
  <c r="AL277" i="22"/>
  <c r="AK277" i="22"/>
  <c r="AJ277" i="22"/>
  <c r="AI277" i="22"/>
  <c r="AH277" i="22"/>
  <c r="AG277" i="22"/>
  <c r="AF277" i="22"/>
  <c r="AE277" i="22"/>
  <c r="AD277" i="22"/>
  <c r="AL275" i="22"/>
  <c r="AK275" i="22"/>
  <c r="AJ275" i="22"/>
  <c r="AI275" i="22"/>
  <c r="AH275" i="22"/>
  <c r="AG275" i="22"/>
  <c r="AF275" i="22"/>
  <c r="AE275" i="22"/>
  <c r="AD275" i="22"/>
  <c r="AL274" i="22"/>
  <c r="AK274" i="22"/>
  <c r="AJ274" i="22"/>
  <c r="AI274" i="22"/>
  <c r="AH274" i="22"/>
  <c r="AG274" i="22"/>
  <c r="AF274" i="22"/>
  <c r="AE274" i="22"/>
  <c r="AD274" i="22"/>
  <c r="AL273" i="22"/>
  <c r="AK273" i="22"/>
  <c r="AJ273" i="22"/>
  <c r="AI273" i="22"/>
  <c r="AH273" i="22"/>
  <c r="AG273" i="22"/>
  <c r="AF273" i="22"/>
  <c r="AE273" i="22"/>
  <c r="AD273" i="22"/>
  <c r="AL272" i="22"/>
  <c r="AK272" i="22"/>
  <c r="AJ272" i="22"/>
  <c r="AI272" i="22"/>
  <c r="AH272" i="22"/>
  <c r="AG272" i="22"/>
  <c r="AF272" i="22"/>
  <c r="AE272" i="22"/>
  <c r="AD272" i="22"/>
  <c r="AL271" i="22"/>
  <c r="AK271" i="22"/>
  <c r="AJ271" i="22"/>
  <c r="AI271" i="22"/>
  <c r="AH271" i="22"/>
  <c r="AG271" i="22"/>
  <c r="AF271" i="22"/>
  <c r="AE271" i="22"/>
  <c r="AD271" i="22"/>
  <c r="AL270" i="22"/>
  <c r="AK270" i="22"/>
  <c r="AJ270" i="22"/>
  <c r="AI270" i="22"/>
  <c r="AH270" i="22"/>
  <c r="AG270" i="22"/>
  <c r="AF270" i="22"/>
  <c r="AE270" i="22"/>
  <c r="AD270" i="22"/>
  <c r="AL269" i="22"/>
  <c r="AK269" i="22"/>
  <c r="AJ269" i="22"/>
  <c r="AI269" i="22"/>
  <c r="AH269" i="22"/>
  <c r="AG269" i="22"/>
  <c r="AF269" i="22"/>
  <c r="AE269" i="22"/>
  <c r="AD269" i="22"/>
  <c r="AL268" i="22"/>
  <c r="AK268" i="22"/>
  <c r="AJ268" i="22"/>
  <c r="AI268" i="22"/>
  <c r="AH268" i="22"/>
  <c r="AG268" i="22"/>
  <c r="AF268" i="22"/>
  <c r="AE268" i="22"/>
  <c r="AD268" i="22"/>
  <c r="AL267" i="22"/>
  <c r="AK267" i="22"/>
  <c r="AJ267" i="22"/>
  <c r="AI267" i="22"/>
  <c r="AH267" i="22"/>
  <c r="AG267" i="22"/>
  <c r="AF267" i="22"/>
  <c r="AE267" i="22"/>
  <c r="AD267" i="22"/>
  <c r="AL266" i="22"/>
  <c r="AK266" i="22"/>
  <c r="AJ266" i="22"/>
  <c r="AI266" i="22"/>
  <c r="AH266" i="22"/>
  <c r="AG266" i="22"/>
  <c r="AF266" i="22"/>
  <c r="AE266" i="22"/>
  <c r="AD266" i="22"/>
  <c r="AL265" i="22"/>
  <c r="AK265" i="22"/>
  <c r="AJ265" i="22"/>
  <c r="AI265" i="22"/>
  <c r="AH265" i="22"/>
  <c r="AG265" i="22"/>
  <c r="AF265" i="22"/>
  <c r="AE265" i="22"/>
  <c r="AD265" i="22"/>
  <c r="AL264" i="22"/>
  <c r="AK264" i="22"/>
  <c r="AJ264" i="22"/>
  <c r="AI264" i="22"/>
  <c r="AH264" i="22"/>
  <c r="AG264" i="22"/>
  <c r="AF264" i="22"/>
  <c r="AE264" i="22"/>
  <c r="AD264" i="22"/>
  <c r="AL263" i="22"/>
  <c r="AK263" i="22"/>
  <c r="AJ263" i="22"/>
  <c r="AI263" i="22"/>
  <c r="AH263" i="22"/>
  <c r="AG263" i="22"/>
  <c r="AF263" i="22"/>
  <c r="AE263" i="22"/>
  <c r="AD263" i="22"/>
  <c r="AL262" i="22"/>
  <c r="AK262" i="22"/>
  <c r="AJ262" i="22"/>
  <c r="AI262" i="22"/>
  <c r="AH262" i="22"/>
  <c r="AG262" i="22"/>
  <c r="AF262" i="22"/>
  <c r="AE262" i="22"/>
  <c r="AD262" i="22"/>
  <c r="AL261" i="22"/>
  <c r="AK261" i="22"/>
  <c r="AJ261" i="22"/>
  <c r="AI261" i="22"/>
  <c r="AH261" i="22"/>
  <c r="AG261" i="22"/>
  <c r="AF261" i="22"/>
  <c r="AE261" i="22"/>
  <c r="AD261" i="22"/>
  <c r="AL260" i="22"/>
  <c r="AK260" i="22"/>
  <c r="AJ260" i="22"/>
  <c r="AI260" i="22"/>
  <c r="AH260" i="22"/>
  <c r="AG260" i="22"/>
  <c r="AF260" i="22"/>
  <c r="AE260" i="22"/>
  <c r="AD260" i="22"/>
  <c r="AL259" i="22"/>
  <c r="AK259" i="22"/>
  <c r="AJ259" i="22"/>
  <c r="AI259" i="22"/>
  <c r="AH259" i="22"/>
  <c r="AG259" i="22"/>
  <c r="AF259" i="22"/>
  <c r="AE259" i="22"/>
  <c r="AD259" i="22"/>
  <c r="AL258" i="22"/>
  <c r="AK258" i="22"/>
  <c r="AJ258" i="22"/>
  <c r="AI258" i="22"/>
  <c r="AH258" i="22"/>
  <c r="AG258" i="22"/>
  <c r="AF258" i="22"/>
  <c r="AE258" i="22"/>
  <c r="AD258" i="22"/>
  <c r="AL257" i="22"/>
  <c r="AK257" i="22"/>
  <c r="AJ257" i="22"/>
  <c r="AI257" i="22"/>
  <c r="AH257" i="22"/>
  <c r="AG257" i="22"/>
  <c r="AF257" i="22"/>
  <c r="AE257" i="22"/>
  <c r="AD257" i="22"/>
  <c r="AL256" i="22"/>
  <c r="AK256" i="22"/>
  <c r="AJ256" i="22"/>
  <c r="AI256" i="22"/>
  <c r="AH256" i="22"/>
  <c r="AG256" i="22"/>
  <c r="AF256" i="22"/>
  <c r="AE256" i="22"/>
  <c r="AD256" i="22"/>
  <c r="AL255" i="22"/>
  <c r="AK255" i="22"/>
  <c r="AJ255" i="22"/>
  <c r="AI255" i="22"/>
  <c r="AH255" i="22"/>
  <c r="AG255" i="22"/>
  <c r="AF255" i="22"/>
  <c r="AE255" i="22"/>
  <c r="AD255" i="22"/>
  <c r="AL254" i="22"/>
  <c r="AK254" i="22"/>
  <c r="AJ254" i="22"/>
  <c r="AI254" i="22"/>
  <c r="AH254" i="22"/>
  <c r="AG254" i="22"/>
  <c r="AF254" i="22"/>
  <c r="AE254" i="22"/>
  <c r="AD254" i="22"/>
  <c r="AL253" i="22"/>
  <c r="AK253" i="22"/>
  <c r="AJ253" i="22"/>
  <c r="AI253" i="22"/>
  <c r="AH253" i="22"/>
  <c r="AG253" i="22"/>
  <c r="AF253" i="22"/>
  <c r="AE253" i="22"/>
  <c r="AD253" i="22"/>
  <c r="AL252" i="22"/>
  <c r="AK252" i="22"/>
  <c r="AJ252" i="22"/>
  <c r="AI252" i="22"/>
  <c r="AH252" i="22"/>
  <c r="AG252" i="22"/>
  <c r="AF252" i="22"/>
  <c r="AE252" i="22"/>
  <c r="AD252" i="22"/>
  <c r="AL251" i="22"/>
  <c r="AK251" i="22"/>
  <c r="AJ251" i="22"/>
  <c r="AI251" i="22"/>
  <c r="AH251" i="22"/>
  <c r="AG251" i="22"/>
  <c r="AF251" i="22"/>
  <c r="AE251" i="22"/>
  <c r="AD251" i="22"/>
  <c r="AL250" i="22"/>
  <c r="AK250" i="22"/>
  <c r="AJ250" i="22"/>
  <c r="AI250" i="22"/>
  <c r="AH250" i="22"/>
  <c r="AG250" i="22"/>
  <c r="AF250" i="22"/>
  <c r="AE250" i="22"/>
  <c r="AD250" i="22"/>
  <c r="AL249" i="22"/>
  <c r="AK249" i="22"/>
  <c r="AJ249" i="22"/>
  <c r="AI249" i="22"/>
  <c r="AH249" i="22"/>
  <c r="AG249" i="22"/>
  <c r="AF249" i="22"/>
  <c r="AE249" i="22"/>
  <c r="AD249" i="22"/>
  <c r="AL248" i="22"/>
  <c r="AK248" i="22"/>
  <c r="AJ248" i="22"/>
  <c r="AI248" i="22"/>
  <c r="AH248" i="22"/>
  <c r="AG248" i="22"/>
  <c r="AF248" i="22"/>
  <c r="AE248" i="22"/>
  <c r="AD248" i="22"/>
  <c r="AL247" i="22"/>
  <c r="AK247" i="22"/>
  <c r="AJ247" i="22"/>
  <c r="AI247" i="22"/>
  <c r="AH247" i="22"/>
  <c r="AG247" i="22"/>
  <c r="AF247" i="22"/>
  <c r="AE247" i="22"/>
  <c r="AD247" i="22"/>
  <c r="AL246" i="22"/>
  <c r="AK246" i="22"/>
  <c r="AJ246" i="22"/>
  <c r="AI246" i="22"/>
  <c r="AH246" i="22"/>
  <c r="AG246" i="22"/>
  <c r="AF246" i="22"/>
  <c r="AE246" i="22"/>
  <c r="AD246" i="22"/>
  <c r="AL245" i="22"/>
  <c r="AK245" i="22"/>
  <c r="AJ245" i="22"/>
  <c r="AI245" i="22"/>
  <c r="AH245" i="22"/>
  <c r="AG245" i="22"/>
  <c r="AF245" i="22"/>
  <c r="AE245" i="22"/>
  <c r="AD245" i="22"/>
  <c r="AL244" i="22"/>
  <c r="AK244" i="22"/>
  <c r="AJ244" i="22"/>
  <c r="AI244" i="22"/>
  <c r="AH244" i="22"/>
  <c r="AG244" i="22"/>
  <c r="AF244" i="22"/>
  <c r="AE244" i="22"/>
  <c r="AD244" i="22"/>
  <c r="AL243" i="22"/>
  <c r="AK243" i="22"/>
  <c r="AJ243" i="22"/>
  <c r="AI243" i="22"/>
  <c r="AH243" i="22"/>
  <c r="AG243" i="22"/>
  <c r="AF243" i="22"/>
  <c r="AE243" i="22"/>
  <c r="AD243" i="22"/>
  <c r="AL242" i="22"/>
  <c r="AK242" i="22"/>
  <c r="AJ242" i="22"/>
  <c r="AI242" i="22"/>
  <c r="AH242" i="22"/>
  <c r="AG242" i="22"/>
  <c r="AF242" i="22"/>
  <c r="AE242" i="22"/>
  <c r="AD242" i="22"/>
  <c r="AL241" i="22"/>
  <c r="AK241" i="22"/>
  <c r="AJ241" i="22"/>
  <c r="AI241" i="22"/>
  <c r="AH241" i="22"/>
  <c r="AG241" i="22"/>
  <c r="AF241" i="22"/>
  <c r="AE241" i="22"/>
  <c r="AD241" i="22"/>
  <c r="AL240" i="22"/>
  <c r="AK240" i="22"/>
  <c r="AJ240" i="22"/>
  <c r="AI240" i="22"/>
  <c r="AH240" i="22"/>
  <c r="AG240" i="22"/>
  <c r="AF240" i="22"/>
  <c r="AE240" i="22"/>
  <c r="AD240" i="22"/>
  <c r="AL239" i="22"/>
  <c r="AK239" i="22"/>
  <c r="AJ239" i="22"/>
  <c r="AI239" i="22"/>
  <c r="AH239" i="22"/>
  <c r="AG239" i="22"/>
  <c r="AF239" i="22"/>
  <c r="AE239" i="22"/>
  <c r="AD239" i="22"/>
  <c r="AL238" i="22"/>
  <c r="AK238" i="22"/>
  <c r="AJ238" i="22"/>
  <c r="AI238" i="22"/>
  <c r="AH238" i="22"/>
  <c r="AG238" i="22"/>
  <c r="AF238" i="22"/>
  <c r="AE238" i="22"/>
  <c r="AD238" i="22"/>
  <c r="AL237" i="22"/>
  <c r="AK237" i="22"/>
  <c r="AJ237" i="22"/>
  <c r="AI237" i="22"/>
  <c r="AH237" i="22"/>
  <c r="AG237" i="22"/>
  <c r="AF237" i="22"/>
  <c r="AE237" i="22"/>
  <c r="AD237" i="22"/>
  <c r="AL236" i="22"/>
  <c r="AK236" i="22"/>
  <c r="AJ236" i="22"/>
  <c r="AI236" i="22"/>
  <c r="AH236" i="22"/>
  <c r="AG236" i="22"/>
  <c r="AF236" i="22"/>
  <c r="AE236" i="22"/>
  <c r="AD236" i="22"/>
  <c r="AL234" i="22"/>
  <c r="AK234" i="22"/>
  <c r="AJ234" i="22"/>
  <c r="AI234" i="22"/>
  <c r="AH234" i="22"/>
  <c r="AG234" i="22"/>
  <c r="AF234" i="22"/>
  <c r="AE234" i="22"/>
  <c r="AD234" i="22"/>
  <c r="AL233" i="22"/>
  <c r="AK233" i="22"/>
  <c r="AJ233" i="22"/>
  <c r="AI233" i="22"/>
  <c r="AH233" i="22"/>
  <c r="AG233" i="22"/>
  <c r="AF233" i="22"/>
  <c r="AE233" i="22"/>
  <c r="AD233" i="22"/>
  <c r="AL232" i="22"/>
  <c r="AK232" i="22"/>
  <c r="AJ232" i="22"/>
  <c r="AI232" i="22"/>
  <c r="AH232" i="22"/>
  <c r="AG232" i="22"/>
  <c r="AF232" i="22"/>
  <c r="AE232" i="22"/>
  <c r="AD232" i="22"/>
  <c r="AL231" i="22"/>
  <c r="AK231" i="22"/>
  <c r="AJ231" i="22"/>
  <c r="AI231" i="22"/>
  <c r="AH231" i="22"/>
  <c r="AG231" i="22"/>
  <c r="AF231" i="22"/>
  <c r="AE231" i="22"/>
  <c r="AD231" i="22"/>
  <c r="AL230" i="22"/>
  <c r="AK230" i="22"/>
  <c r="AJ230" i="22"/>
  <c r="AI230" i="22"/>
  <c r="AH230" i="22"/>
  <c r="AG230" i="22"/>
  <c r="AF230" i="22"/>
  <c r="AE230" i="22"/>
  <c r="AD230" i="22"/>
  <c r="AL229" i="22"/>
  <c r="AK229" i="22"/>
  <c r="AJ229" i="22"/>
  <c r="AI229" i="22"/>
  <c r="AH229" i="22"/>
  <c r="AG229" i="22"/>
  <c r="AF229" i="22"/>
  <c r="AE229" i="22"/>
  <c r="AD229" i="22"/>
  <c r="AL228" i="22"/>
  <c r="AK228" i="22"/>
  <c r="AJ228" i="22"/>
  <c r="AI228" i="22"/>
  <c r="AH228" i="22"/>
  <c r="AG228" i="22"/>
  <c r="AF228" i="22"/>
  <c r="AE228" i="22"/>
  <c r="AD228" i="22"/>
  <c r="AL227" i="22"/>
  <c r="AK227" i="22"/>
  <c r="AJ227" i="22"/>
  <c r="AI227" i="22"/>
  <c r="AH227" i="22"/>
  <c r="AG227" i="22"/>
  <c r="AF227" i="22"/>
  <c r="AE227" i="22"/>
  <c r="AD227" i="22"/>
  <c r="AL226" i="22"/>
  <c r="AK226" i="22"/>
  <c r="AJ226" i="22"/>
  <c r="AI226" i="22"/>
  <c r="AH226" i="22"/>
  <c r="AG226" i="22"/>
  <c r="AF226" i="22"/>
  <c r="AE226" i="22"/>
  <c r="AD226" i="22"/>
  <c r="AL225" i="22"/>
  <c r="AK225" i="22"/>
  <c r="AJ225" i="22"/>
  <c r="AI225" i="22"/>
  <c r="AH225" i="22"/>
  <c r="AG225" i="22"/>
  <c r="AF225" i="22"/>
  <c r="AE225" i="22"/>
  <c r="AD225" i="22"/>
  <c r="AL224" i="22"/>
  <c r="AK224" i="22"/>
  <c r="AJ224" i="22"/>
  <c r="AI224" i="22"/>
  <c r="AH224" i="22"/>
  <c r="AG224" i="22"/>
  <c r="AF224" i="22"/>
  <c r="AE224" i="22"/>
  <c r="AD224" i="22"/>
  <c r="AL223" i="22"/>
  <c r="AK223" i="22"/>
  <c r="AJ223" i="22"/>
  <c r="AI223" i="22"/>
  <c r="AH223" i="22"/>
  <c r="AG223" i="22"/>
  <c r="AF223" i="22"/>
  <c r="AE223" i="22"/>
  <c r="AD223" i="22"/>
  <c r="AL222" i="22"/>
  <c r="AK222" i="22"/>
  <c r="AJ222" i="22"/>
  <c r="AI222" i="22"/>
  <c r="AH222" i="22"/>
  <c r="AG222" i="22"/>
  <c r="AF222" i="22"/>
  <c r="AE222" i="22"/>
  <c r="AD222" i="22"/>
  <c r="AL221" i="22"/>
  <c r="AK221" i="22"/>
  <c r="AJ221" i="22"/>
  <c r="AI221" i="22"/>
  <c r="AH221" i="22"/>
  <c r="AG221" i="22"/>
  <c r="AF221" i="22"/>
  <c r="AE221" i="22"/>
  <c r="AD221" i="22"/>
  <c r="AL220" i="22"/>
  <c r="AK220" i="22"/>
  <c r="AJ220" i="22"/>
  <c r="AI220" i="22"/>
  <c r="AH220" i="22"/>
  <c r="AG220" i="22"/>
  <c r="AF220" i="22"/>
  <c r="AE220" i="22"/>
  <c r="AD220" i="22"/>
  <c r="AL219" i="22"/>
  <c r="AK219" i="22"/>
  <c r="AJ219" i="22"/>
  <c r="AI219" i="22"/>
  <c r="AH219" i="22"/>
  <c r="AG219" i="22"/>
  <c r="AF219" i="22"/>
  <c r="AE219" i="22"/>
  <c r="AD219" i="22"/>
  <c r="AL218" i="22"/>
  <c r="AK218" i="22"/>
  <c r="AJ218" i="22"/>
  <c r="AI218" i="22"/>
  <c r="AH218" i="22"/>
  <c r="AG218" i="22"/>
  <c r="AF218" i="22"/>
  <c r="AE218" i="22"/>
  <c r="AD218" i="22"/>
  <c r="AL217" i="22"/>
  <c r="AK217" i="22"/>
  <c r="AJ217" i="22"/>
  <c r="AI217" i="22"/>
  <c r="AH217" i="22"/>
  <c r="AG217" i="22"/>
  <c r="AF217" i="22"/>
  <c r="AE217" i="22"/>
  <c r="AD217" i="22"/>
  <c r="AL216" i="22"/>
  <c r="AK216" i="22"/>
  <c r="AJ216" i="22"/>
  <c r="AI216" i="22"/>
  <c r="AH216" i="22"/>
  <c r="AG216" i="22"/>
  <c r="AF216" i="22"/>
  <c r="AE216" i="22"/>
  <c r="AD216" i="22"/>
  <c r="AL215" i="22"/>
  <c r="AK215" i="22"/>
  <c r="AJ215" i="22"/>
  <c r="AI215" i="22"/>
  <c r="AH215" i="22"/>
  <c r="AG215" i="22"/>
  <c r="AF215" i="22"/>
  <c r="AE215" i="22"/>
  <c r="AD215" i="22"/>
  <c r="AL214" i="22"/>
  <c r="AK214" i="22"/>
  <c r="AJ214" i="22"/>
  <c r="AI214" i="22"/>
  <c r="AH214" i="22"/>
  <c r="AG214" i="22"/>
  <c r="AF214" i="22"/>
  <c r="AE214" i="22"/>
  <c r="AD214" i="22"/>
  <c r="AL213" i="22"/>
  <c r="AK213" i="22"/>
  <c r="AJ213" i="22"/>
  <c r="AI213" i="22"/>
  <c r="AH213" i="22"/>
  <c r="AG213" i="22"/>
  <c r="AF213" i="22"/>
  <c r="AE213" i="22"/>
  <c r="AD213" i="22"/>
  <c r="AL212" i="22"/>
  <c r="AK212" i="22"/>
  <c r="AJ212" i="22"/>
  <c r="AI212" i="22"/>
  <c r="AH212" i="22"/>
  <c r="AG212" i="22"/>
  <c r="AF212" i="22"/>
  <c r="AE212" i="22"/>
  <c r="AD212" i="22"/>
  <c r="AL211" i="22"/>
  <c r="AK211" i="22"/>
  <c r="AJ211" i="22"/>
  <c r="AI211" i="22"/>
  <c r="AH211" i="22"/>
  <c r="AG211" i="22"/>
  <c r="AF211" i="22"/>
  <c r="AE211" i="22"/>
  <c r="AD211" i="22"/>
  <c r="AL210" i="22"/>
  <c r="AK210" i="22"/>
  <c r="AJ210" i="22"/>
  <c r="AI210" i="22"/>
  <c r="AH210" i="22"/>
  <c r="AG210" i="22"/>
  <c r="AF210" i="22"/>
  <c r="AE210" i="22"/>
  <c r="AD210" i="22"/>
  <c r="AL209" i="22"/>
  <c r="AK209" i="22"/>
  <c r="AJ209" i="22"/>
  <c r="AI209" i="22"/>
  <c r="AH209" i="22"/>
  <c r="AG209" i="22"/>
  <c r="AF209" i="22"/>
  <c r="AE209" i="22"/>
  <c r="AD209" i="22"/>
  <c r="AL208" i="22"/>
  <c r="AK208" i="22"/>
  <c r="AJ208" i="22"/>
  <c r="AI208" i="22"/>
  <c r="AH208" i="22"/>
  <c r="AG208" i="22"/>
  <c r="AF208" i="22"/>
  <c r="AE208" i="22"/>
  <c r="AD208" i="22"/>
  <c r="AL207" i="22"/>
  <c r="AK207" i="22"/>
  <c r="AJ207" i="22"/>
  <c r="AI207" i="22"/>
  <c r="AH207" i="22"/>
  <c r="AG207" i="22"/>
  <c r="AF207" i="22"/>
  <c r="AE207" i="22"/>
  <c r="AD207" i="22"/>
  <c r="AL206" i="22"/>
  <c r="AK206" i="22"/>
  <c r="AJ206" i="22"/>
  <c r="AI206" i="22"/>
  <c r="AH206" i="22"/>
  <c r="AG206" i="22"/>
  <c r="AF206" i="22"/>
  <c r="AE206" i="22"/>
  <c r="AD206" i="22"/>
  <c r="AL205" i="22"/>
  <c r="AK205" i="22"/>
  <c r="AJ205" i="22"/>
  <c r="AI205" i="22"/>
  <c r="AH205" i="22"/>
  <c r="AG205" i="22"/>
  <c r="AF205" i="22"/>
  <c r="AE205" i="22"/>
  <c r="AD205" i="22"/>
  <c r="AL204" i="22"/>
  <c r="AK204" i="22"/>
  <c r="AJ204" i="22"/>
  <c r="AI204" i="22"/>
  <c r="AH204" i="22"/>
  <c r="AG204" i="22"/>
  <c r="AF204" i="22"/>
  <c r="AE204" i="22"/>
  <c r="AD204" i="22"/>
  <c r="AL203" i="22"/>
  <c r="AK203" i="22"/>
  <c r="AJ203" i="22"/>
  <c r="AI203" i="22"/>
  <c r="AH203" i="22"/>
  <c r="AG203" i="22"/>
  <c r="AF203" i="22"/>
  <c r="AE203" i="22"/>
  <c r="AD203" i="22"/>
  <c r="AL202" i="22"/>
  <c r="AK202" i="22"/>
  <c r="AJ202" i="22"/>
  <c r="AI202" i="22"/>
  <c r="AH202" i="22"/>
  <c r="AG202" i="22"/>
  <c r="AF202" i="22"/>
  <c r="AE202" i="22"/>
  <c r="AD202" i="22"/>
  <c r="AL201" i="22"/>
  <c r="AK201" i="22"/>
  <c r="AJ201" i="22"/>
  <c r="AI201" i="22"/>
  <c r="AH201" i="22"/>
  <c r="AG201" i="22"/>
  <c r="AF201" i="22"/>
  <c r="AE201" i="22"/>
  <c r="AD201" i="22"/>
  <c r="AL200" i="22"/>
  <c r="AK200" i="22"/>
  <c r="AJ200" i="22"/>
  <c r="AI200" i="22"/>
  <c r="AH200" i="22"/>
  <c r="AG200" i="22"/>
  <c r="AF200" i="22"/>
  <c r="AE200" i="22"/>
  <c r="AD200" i="22"/>
  <c r="AL199" i="22"/>
  <c r="AK199" i="22"/>
  <c r="AJ199" i="22"/>
  <c r="AI199" i="22"/>
  <c r="AH199" i="22"/>
  <c r="AG199" i="22"/>
  <c r="AF199" i="22"/>
  <c r="AE199" i="22"/>
  <c r="AD199" i="22"/>
  <c r="AL198" i="22"/>
  <c r="AK198" i="22"/>
  <c r="AJ198" i="22"/>
  <c r="AI198" i="22"/>
  <c r="AH198" i="22"/>
  <c r="AG198" i="22"/>
  <c r="AF198" i="22"/>
  <c r="AE198" i="22"/>
  <c r="AD198" i="22"/>
  <c r="AL197" i="22"/>
  <c r="AK197" i="22"/>
  <c r="AJ197" i="22"/>
  <c r="AI197" i="22"/>
  <c r="AH197" i="22"/>
  <c r="AG197" i="22"/>
  <c r="AF197" i="22"/>
  <c r="AE197" i="22"/>
  <c r="AD197" i="22"/>
  <c r="AL196" i="22"/>
  <c r="AK196" i="22"/>
  <c r="AJ196" i="22"/>
  <c r="AI196" i="22"/>
  <c r="AH196" i="22"/>
  <c r="AG196" i="22"/>
  <c r="AF196" i="22"/>
  <c r="AE196" i="22"/>
  <c r="AD196" i="22"/>
  <c r="AL195" i="22"/>
  <c r="AK195" i="22"/>
  <c r="AJ195" i="22"/>
  <c r="AI195" i="22"/>
  <c r="AH195" i="22"/>
  <c r="AG195" i="22"/>
  <c r="AF195" i="22"/>
  <c r="AE195" i="22"/>
  <c r="AD195" i="22"/>
  <c r="AL193" i="22"/>
  <c r="AK193" i="22"/>
  <c r="AJ193" i="22"/>
  <c r="AI193" i="22"/>
  <c r="AH193" i="22"/>
  <c r="AG193" i="22"/>
  <c r="AF193" i="22"/>
  <c r="AE193" i="22"/>
  <c r="AD193" i="22"/>
  <c r="AL192" i="22"/>
  <c r="AK192" i="22"/>
  <c r="AJ192" i="22"/>
  <c r="AI192" i="22"/>
  <c r="AH192" i="22"/>
  <c r="AG192" i="22"/>
  <c r="AF192" i="22"/>
  <c r="AE192" i="22"/>
  <c r="AD192" i="22"/>
  <c r="AL191" i="22"/>
  <c r="AK191" i="22"/>
  <c r="AJ191" i="22"/>
  <c r="AI191" i="22"/>
  <c r="AH191" i="22"/>
  <c r="AG191" i="22"/>
  <c r="AF191" i="22"/>
  <c r="AE191" i="22"/>
  <c r="AD191" i="22"/>
  <c r="AL190" i="22"/>
  <c r="AK190" i="22"/>
  <c r="AJ190" i="22"/>
  <c r="AI190" i="22"/>
  <c r="AH190" i="22"/>
  <c r="AG190" i="22"/>
  <c r="AF190" i="22"/>
  <c r="AE190" i="22"/>
  <c r="AD190" i="22"/>
  <c r="AL189" i="22"/>
  <c r="AK189" i="22"/>
  <c r="AJ189" i="22"/>
  <c r="AI189" i="22"/>
  <c r="AH189" i="22"/>
  <c r="AG189" i="22"/>
  <c r="AF189" i="22"/>
  <c r="AE189" i="22"/>
  <c r="AD189" i="22"/>
  <c r="AL188" i="22"/>
  <c r="AK188" i="22"/>
  <c r="AJ188" i="22"/>
  <c r="AI188" i="22"/>
  <c r="AH188" i="22"/>
  <c r="AG188" i="22"/>
  <c r="AF188" i="22"/>
  <c r="AE188" i="22"/>
  <c r="AD188" i="22"/>
  <c r="AL187" i="22"/>
  <c r="AK187" i="22"/>
  <c r="AJ187" i="22"/>
  <c r="AI187" i="22"/>
  <c r="AH187" i="22"/>
  <c r="AG187" i="22"/>
  <c r="AF187" i="22"/>
  <c r="AE187" i="22"/>
  <c r="AD187" i="22"/>
  <c r="AL186" i="22"/>
  <c r="AK186" i="22"/>
  <c r="AJ186" i="22"/>
  <c r="AI186" i="22"/>
  <c r="AH186" i="22"/>
  <c r="AG186" i="22"/>
  <c r="AF186" i="22"/>
  <c r="AE186" i="22"/>
  <c r="AD186" i="22"/>
  <c r="AL185" i="22"/>
  <c r="AK185" i="22"/>
  <c r="AJ185" i="22"/>
  <c r="AI185" i="22"/>
  <c r="AH185" i="22"/>
  <c r="AG185" i="22"/>
  <c r="AF185" i="22"/>
  <c r="AE185" i="22"/>
  <c r="AD185" i="22"/>
  <c r="AL184" i="22"/>
  <c r="AK184" i="22"/>
  <c r="AJ184" i="22"/>
  <c r="AI184" i="22"/>
  <c r="AH184" i="22"/>
  <c r="AG184" i="22"/>
  <c r="AF184" i="22"/>
  <c r="AE184" i="22"/>
  <c r="AD184" i="22"/>
  <c r="AL183" i="22"/>
  <c r="AK183" i="22"/>
  <c r="AJ183" i="22"/>
  <c r="AI183" i="22"/>
  <c r="AH183" i="22"/>
  <c r="AG183" i="22"/>
  <c r="AF183" i="22"/>
  <c r="AE183" i="22"/>
  <c r="AD183" i="22"/>
  <c r="AL182" i="22"/>
  <c r="AK182" i="22"/>
  <c r="AJ182" i="22"/>
  <c r="AI182" i="22"/>
  <c r="AH182" i="22"/>
  <c r="AG182" i="22"/>
  <c r="AF182" i="22"/>
  <c r="AE182" i="22"/>
  <c r="AD182" i="22"/>
  <c r="AL181" i="22"/>
  <c r="AK181" i="22"/>
  <c r="AJ181" i="22"/>
  <c r="AI181" i="22"/>
  <c r="AH181" i="22"/>
  <c r="AG181" i="22"/>
  <c r="AF181" i="22"/>
  <c r="AE181" i="22"/>
  <c r="AD181" i="22"/>
  <c r="AL180" i="22"/>
  <c r="AK180" i="22"/>
  <c r="AJ180" i="22"/>
  <c r="AI180" i="22"/>
  <c r="AH180" i="22"/>
  <c r="AG180" i="22"/>
  <c r="AF180" i="22"/>
  <c r="AE180" i="22"/>
  <c r="AD180" i="22"/>
  <c r="AL179" i="22"/>
  <c r="AK179" i="22"/>
  <c r="AJ179" i="22"/>
  <c r="AI179" i="22"/>
  <c r="AH179" i="22"/>
  <c r="AG179" i="22"/>
  <c r="AF179" i="22"/>
  <c r="AE179" i="22"/>
  <c r="AD179" i="22"/>
  <c r="AL178" i="22"/>
  <c r="AK178" i="22"/>
  <c r="AJ178" i="22"/>
  <c r="AI178" i="22"/>
  <c r="AH178" i="22"/>
  <c r="AG178" i="22"/>
  <c r="AF178" i="22"/>
  <c r="AE178" i="22"/>
  <c r="AD178" i="22"/>
  <c r="AL177" i="22"/>
  <c r="AK177" i="22"/>
  <c r="AJ177" i="22"/>
  <c r="AI177" i="22"/>
  <c r="AH177" i="22"/>
  <c r="AG177" i="22"/>
  <c r="AF177" i="22"/>
  <c r="AE177" i="22"/>
  <c r="AD177" i="22"/>
  <c r="AL176" i="22"/>
  <c r="AK176" i="22"/>
  <c r="AJ176" i="22"/>
  <c r="AI176" i="22"/>
  <c r="AH176" i="22"/>
  <c r="AG176" i="22"/>
  <c r="AF176" i="22"/>
  <c r="AE176" i="22"/>
  <c r="AD176" i="22"/>
  <c r="AL175" i="22"/>
  <c r="AK175" i="22"/>
  <c r="AJ175" i="22"/>
  <c r="AI175" i="22"/>
  <c r="AH175" i="22"/>
  <c r="AG175" i="22"/>
  <c r="AF175" i="22"/>
  <c r="AE175" i="22"/>
  <c r="AD175" i="22"/>
  <c r="AL174" i="22"/>
  <c r="AK174" i="22"/>
  <c r="AJ174" i="22"/>
  <c r="AI174" i="22"/>
  <c r="AH174" i="22"/>
  <c r="AG174" i="22"/>
  <c r="AF174" i="22"/>
  <c r="AE174" i="22"/>
  <c r="AD174" i="22"/>
  <c r="AL173" i="22"/>
  <c r="AK173" i="22"/>
  <c r="AJ173" i="22"/>
  <c r="AI173" i="22"/>
  <c r="AH173" i="22"/>
  <c r="AG173" i="22"/>
  <c r="AF173" i="22"/>
  <c r="AE173" i="22"/>
  <c r="AD173" i="22"/>
  <c r="AL172" i="22"/>
  <c r="AK172" i="22"/>
  <c r="AJ172" i="22"/>
  <c r="AI172" i="22"/>
  <c r="AH172" i="22"/>
  <c r="AG172" i="22"/>
  <c r="AF172" i="22"/>
  <c r="AE172" i="22"/>
  <c r="AD172" i="22"/>
  <c r="AL171" i="22"/>
  <c r="AK171" i="22"/>
  <c r="AJ171" i="22"/>
  <c r="AI171" i="22"/>
  <c r="AH171" i="22"/>
  <c r="AG171" i="22"/>
  <c r="AF171" i="22"/>
  <c r="AE171" i="22"/>
  <c r="AD171" i="22"/>
  <c r="AL170" i="22"/>
  <c r="AK170" i="22"/>
  <c r="AJ170" i="22"/>
  <c r="AI170" i="22"/>
  <c r="AH170" i="22"/>
  <c r="AG170" i="22"/>
  <c r="AF170" i="22"/>
  <c r="AE170" i="22"/>
  <c r="AD170" i="22"/>
  <c r="AL169" i="22"/>
  <c r="AK169" i="22"/>
  <c r="AJ169" i="22"/>
  <c r="AI169" i="22"/>
  <c r="AH169" i="22"/>
  <c r="AG169" i="22"/>
  <c r="AF169" i="22"/>
  <c r="AE169" i="22"/>
  <c r="AD169" i="22"/>
  <c r="AL168" i="22"/>
  <c r="AK168" i="22"/>
  <c r="AJ168" i="22"/>
  <c r="AI168" i="22"/>
  <c r="AH168" i="22"/>
  <c r="AG168" i="22"/>
  <c r="AF168" i="22"/>
  <c r="AE168" i="22"/>
  <c r="AD168" i="22"/>
  <c r="AL167" i="22"/>
  <c r="AK167" i="22"/>
  <c r="AJ167" i="22"/>
  <c r="AI167" i="22"/>
  <c r="AH167" i="22"/>
  <c r="AG167" i="22"/>
  <c r="AF167" i="22"/>
  <c r="AE167" i="22"/>
  <c r="AD167" i="22"/>
  <c r="AL166" i="22"/>
  <c r="AK166" i="22"/>
  <c r="AJ166" i="22"/>
  <c r="AI166" i="22"/>
  <c r="AH166" i="22"/>
  <c r="AG166" i="22"/>
  <c r="AF166" i="22"/>
  <c r="AE166" i="22"/>
  <c r="AD166" i="22"/>
  <c r="AL165" i="22"/>
  <c r="AK165" i="22"/>
  <c r="AJ165" i="22"/>
  <c r="AI165" i="22"/>
  <c r="AH165" i="22"/>
  <c r="AG165" i="22"/>
  <c r="AF165" i="22"/>
  <c r="AE165" i="22"/>
  <c r="AD165" i="22"/>
  <c r="AL164" i="22"/>
  <c r="AK164" i="22"/>
  <c r="AJ164" i="22"/>
  <c r="AI164" i="22"/>
  <c r="AH164" i="22"/>
  <c r="AG164" i="22"/>
  <c r="AF164" i="22"/>
  <c r="AE164" i="22"/>
  <c r="AD164" i="22"/>
  <c r="AL163" i="22"/>
  <c r="AK163" i="22"/>
  <c r="AJ163" i="22"/>
  <c r="AI163" i="22"/>
  <c r="AH163" i="22"/>
  <c r="AG163" i="22"/>
  <c r="AF163" i="22"/>
  <c r="AE163" i="22"/>
  <c r="AD163" i="22"/>
  <c r="AL162" i="22"/>
  <c r="AK162" i="22"/>
  <c r="AJ162" i="22"/>
  <c r="AI162" i="22"/>
  <c r="AH162" i="22"/>
  <c r="AG162" i="22"/>
  <c r="AF162" i="22"/>
  <c r="AE162" i="22"/>
  <c r="AD162" i="22"/>
  <c r="AL161" i="22"/>
  <c r="AK161" i="22"/>
  <c r="AJ161" i="22"/>
  <c r="AI161" i="22"/>
  <c r="AH161" i="22"/>
  <c r="AG161" i="22"/>
  <c r="AF161" i="22"/>
  <c r="AE161" i="22"/>
  <c r="AD161" i="22"/>
  <c r="AL160" i="22"/>
  <c r="AK160" i="22"/>
  <c r="AJ160" i="22"/>
  <c r="AI160" i="22"/>
  <c r="AH160" i="22"/>
  <c r="AG160" i="22"/>
  <c r="AF160" i="22"/>
  <c r="AE160" i="22"/>
  <c r="AD160" i="22"/>
  <c r="AL159" i="22"/>
  <c r="AK159" i="22"/>
  <c r="AJ159" i="22"/>
  <c r="AI159" i="22"/>
  <c r="AH159" i="22"/>
  <c r="AG159" i="22"/>
  <c r="AF159" i="22"/>
  <c r="AE159" i="22"/>
  <c r="AD159" i="22"/>
  <c r="AL158" i="22"/>
  <c r="AK158" i="22"/>
  <c r="AJ158" i="22"/>
  <c r="AI158" i="22"/>
  <c r="AH158" i="22"/>
  <c r="AG158" i="22"/>
  <c r="AF158" i="22"/>
  <c r="AE158" i="22"/>
  <c r="AD158" i="22"/>
  <c r="AL157" i="22"/>
  <c r="AK157" i="22"/>
  <c r="AJ157" i="22"/>
  <c r="AI157" i="22"/>
  <c r="AH157" i="22"/>
  <c r="AG157" i="22"/>
  <c r="AF157" i="22"/>
  <c r="AE157" i="22"/>
  <c r="AD157" i="22"/>
  <c r="AL156" i="22"/>
  <c r="AK156" i="22"/>
  <c r="AJ156" i="22"/>
  <c r="AI156" i="22"/>
  <c r="AH156" i="22"/>
  <c r="AG156" i="22"/>
  <c r="AF156" i="22"/>
  <c r="AE156" i="22"/>
  <c r="AD156" i="22"/>
  <c r="AL155" i="22"/>
  <c r="AK155" i="22"/>
  <c r="AJ155" i="22"/>
  <c r="AI155" i="22"/>
  <c r="AH155" i="22"/>
  <c r="AG155" i="22"/>
  <c r="AF155" i="22"/>
  <c r="AE155" i="22"/>
  <c r="AD155" i="22"/>
  <c r="AL154" i="22"/>
  <c r="AK154" i="22"/>
  <c r="AJ154" i="22"/>
  <c r="AI154" i="22"/>
  <c r="AH154" i="22"/>
  <c r="AG154" i="22"/>
  <c r="AF154" i="22"/>
  <c r="AE154" i="22"/>
  <c r="AD154" i="22"/>
  <c r="AL152" i="22"/>
  <c r="AK152" i="22"/>
  <c r="AJ152" i="22"/>
  <c r="AI152" i="22"/>
  <c r="AH152" i="22"/>
  <c r="AG152" i="22"/>
  <c r="AF152" i="22"/>
  <c r="AE152" i="22"/>
  <c r="AD152" i="22"/>
  <c r="AL151" i="22"/>
  <c r="AK151" i="22"/>
  <c r="AJ151" i="22"/>
  <c r="AI151" i="22"/>
  <c r="AH151" i="22"/>
  <c r="AG151" i="22"/>
  <c r="AF151" i="22"/>
  <c r="AE151" i="22"/>
  <c r="AD151" i="22"/>
  <c r="AL150" i="22"/>
  <c r="AK150" i="22"/>
  <c r="AJ150" i="22"/>
  <c r="AI150" i="22"/>
  <c r="AH150" i="22"/>
  <c r="AG150" i="22"/>
  <c r="AF150" i="22"/>
  <c r="AE150" i="22"/>
  <c r="AD150" i="22"/>
  <c r="AL149" i="22"/>
  <c r="AK149" i="22"/>
  <c r="AJ149" i="22"/>
  <c r="AI149" i="22"/>
  <c r="AH149" i="22"/>
  <c r="AG149" i="22"/>
  <c r="AF149" i="22"/>
  <c r="AE149" i="22"/>
  <c r="AD149" i="22"/>
  <c r="AL148" i="22"/>
  <c r="AK148" i="22"/>
  <c r="AJ148" i="22"/>
  <c r="AI148" i="22"/>
  <c r="AH148" i="22"/>
  <c r="AG148" i="22"/>
  <c r="AF148" i="22"/>
  <c r="AE148" i="22"/>
  <c r="AD148" i="22"/>
  <c r="AL147" i="22"/>
  <c r="AK147" i="22"/>
  <c r="AJ147" i="22"/>
  <c r="AI147" i="22"/>
  <c r="AH147" i="22"/>
  <c r="AG147" i="22"/>
  <c r="AF147" i="22"/>
  <c r="AE147" i="22"/>
  <c r="AD147" i="22"/>
  <c r="AL146" i="22"/>
  <c r="AK146" i="22"/>
  <c r="AJ146" i="22"/>
  <c r="AI146" i="22"/>
  <c r="AH146" i="22"/>
  <c r="AG146" i="22"/>
  <c r="AF146" i="22"/>
  <c r="AE146" i="22"/>
  <c r="AD146" i="22"/>
  <c r="AL145" i="22"/>
  <c r="AK145" i="22"/>
  <c r="AJ145" i="22"/>
  <c r="AI145" i="22"/>
  <c r="AH145" i="22"/>
  <c r="AG145" i="22"/>
  <c r="AF145" i="22"/>
  <c r="AE145" i="22"/>
  <c r="AD145" i="22"/>
  <c r="AL144" i="22"/>
  <c r="AK144" i="22"/>
  <c r="AJ144" i="22"/>
  <c r="AI144" i="22"/>
  <c r="AH144" i="22"/>
  <c r="AG144" i="22"/>
  <c r="AF144" i="22"/>
  <c r="AE144" i="22"/>
  <c r="AD144" i="22"/>
  <c r="AL143" i="22"/>
  <c r="AK143" i="22"/>
  <c r="AJ143" i="22"/>
  <c r="AI143" i="22"/>
  <c r="AH143" i="22"/>
  <c r="AG143" i="22"/>
  <c r="AF143" i="22"/>
  <c r="AE143" i="22"/>
  <c r="AD143" i="22"/>
  <c r="AL142" i="22"/>
  <c r="AK142" i="22"/>
  <c r="AJ142" i="22"/>
  <c r="AI142" i="22"/>
  <c r="AH142" i="22"/>
  <c r="AG142" i="22"/>
  <c r="AF142" i="22"/>
  <c r="AE142" i="22"/>
  <c r="AD142" i="22"/>
  <c r="AL141" i="22"/>
  <c r="AK141" i="22"/>
  <c r="AJ141" i="22"/>
  <c r="AI141" i="22"/>
  <c r="AH141" i="22"/>
  <c r="AG141" i="22"/>
  <c r="AF141" i="22"/>
  <c r="AE141" i="22"/>
  <c r="AD141" i="22"/>
  <c r="AL140" i="22"/>
  <c r="AK140" i="22"/>
  <c r="AJ140" i="22"/>
  <c r="AI140" i="22"/>
  <c r="AH140" i="22"/>
  <c r="AG140" i="22"/>
  <c r="AF140" i="22"/>
  <c r="AE140" i="22"/>
  <c r="AD140" i="22"/>
  <c r="AL139" i="22"/>
  <c r="AK139" i="22"/>
  <c r="AJ139" i="22"/>
  <c r="AI139" i="22"/>
  <c r="AH139" i="22"/>
  <c r="AG139" i="22"/>
  <c r="AF139" i="22"/>
  <c r="AE139" i="22"/>
  <c r="AD139" i="22"/>
  <c r="AL138" i="22"/>
  <c r="AK138" i="22"/>
  <c r="AJ138" i="22"/>
  <c r="AI138" i="22"/>
  <c r="AH138" i="22"/>
  <c r="AG138" i="22"/>
  <c r="AF138" i="22"/>
  <c r="AE138" i="22"/>
  <c r="AD138" i="22"/>
  <c r="AL137" i="22"/>
  <c r="AK137" i="22"/>
  <c r="AJ137" i="22"/>
  <c r="AI137" i="22"/>
  <c r="AH137" i="22"/>
  <c r="AG137" i="22"/>
  <c r="AF137" i="22"/>
  <c r="AE137" i="22"/>
  <c r="AD137" i="22"/>
  <c r="AL136" i="22"/>
  <c r="AK136" i="22"/>
  <c r="AJ136" i="22"/>
  <c r="AI136" i="22"/>
  <c r="AH136" i="22"/>
  <c r="AG136" i="22"/>
  <c r="AF136" i="22"/>
  <c r="AE136" i="22"/>
  <c r="AD136" i="22"/>
  <c r="AL135" i="22"/>
  <c r="AK135" i="22"/>
  <c r="AJ135" i="22"/>
  <c r="AI135" i="22"/>
  <c r="AH135" i="22"/>
  <c r="AG135" i="22"/>
  <c r="AF135" i="22"/>
  <c r="AE135" i="22"/>
  <c r="AD135" i="22"/>
  <c r="AL134" i="22"/>
  <c r="AK134" i="22"/>
  <c r="AJ134" i="22"/>
  <c r="AI134" i="22"/>
  <c r="AH134" i="22"/>
  <c r="AG134" i="22"/>
  <c r="AF134" i="22"/>
  <c r="AE134" i="22"/>
  <c r="AD134" i="22"/>
  <c r="AL133" i="22"/>
  <c r="AK133" i="22"/>
  <c r="AJ133" i="22"/>
  <c r="AI133" i="22"/>
  <c r="AH133" i="22"/>
  <c r="AG133" i="22"/>
  <c r="AF133" i="22"/>
  <c r="AE133" i="22"/>
  <c r="AD133" i="22"/>
  <c r="AL132" i="22"/>
  <c r="AK132" i="22"/>
  <c r="AJ132" i="22"/>
  <c r="AI132" i="22"/>
  <c r="AH132" i="22"/>
  <c r="AG132" i="22"/>
  <c r="AF132" i="22"/>
  <c r="AE132" i="22"/>
  <c r="AD132" i="22"/>
  <c r="AL131" i="22"/>
  <c r="AK131" i="22"/>
  <c r="AJ131" i="22"/>
  <c r="AI131" i="22"/>
  <c r="AH131" i="22"/>
  <c r="AG131" i="22"/>
  <c r="AF131" i="22"/>
  <c r="AE131" i="22"/>
  <c r="AD131" i="22"/>
  <c r="AL130" i="22"/>
  <c r="AK130" i="22"/>
  <c r="AJ130" i="22"/>
  <c r="AI130" i="22"/>
  <c r="AH130" i="22"/>
  <c r="AG130" i="22"/>
  <c r="AF130" i="22"/>
  <c r="AE130" i="22"/>
  <c r="AD130" i="22"/>
  <c r="AL129" i="22"/>
  <c r="AK129" i="22"/>
  <c r="AJ129" i="22"/>
  <c r="AI129" i="22"/>
  <c r="AH129" i="22"/>
  <c r="AG129" i="22"/>
  <c r="AF129" i="22"/>
  <c r="AE129" i="22"/>
  <c r="AD129" i="22"/>
  <c r="AL128" i="22"/>
  <c r="AK128" i="22"/>
  <c r="AJ128" i="22"/>
  <c r="AI128" i="22"/>
  <c r="AH128" i="22"/>
  <c r="AG128" i="22"/>
  <c r="AF128" i="22"/>
  <c r="AE128" i="22"/>
  <c r="AD128" i="22"/>
  <c r="AL127" i="22"/>
  <c r="AK127" i="22"/>
  <c r="AJ127" i="22"/>
  <c r="AI127" i="22"/>
  <c r="AH127" i="22"/>
  <c r="AG127" i="22"/>
  <c r="AF127" i="22"/>
  <c r="AE127" i="22"/>
  <c r="AD127" i="22"/>
  <c r="AL126" i="22"/>
  <c r="AK126" i="22"/>
  <c r="AJ126" i="22"/>
  <c r="AI126" i="22"/>
  <c r="AH126" i="22"/>
  <c r="AG126" i="22"/>
  <c r="AF126" i="22"/>
  <c r="AE126" i="22"/>
  <c r="AD126" i="22"/>
  <c r="AL125" i="22"/>
  <c r="AK125" i="22"/>
  <c r="AJ125" i="22"/>
  <c r="AI125" i="22"/>
  <c r="AH125" i="22"/>
  <c r="AG125" i="22"/>
  <c r="AF125" i="22"/>
  <c r="AE125" i="22"/>
  <c r="AD125" i="22"/>
  <c r="AL124" i="22"/>
  <c r="AK124" i="22"/>
  <c r="AJ124" i="22"/>
  <c r="AI124" i="22"/>
  <c r="AH124" i="22"/>
  <c r="AG124" i="22"/>
  <c r="AF124" i="22"/>
  <c r="AE124" i="22"/>
  <c r="AD124" i="22"/>
  <c r="AL123" i="22"/>
  <c r="AK123" i="22"/>
  <c r="AJ123" i="22"/>
  <c r="AI123" i="22"/>
  <c r="AH123" i="22"/>
  <c r="AG123" i="22"/>
  <c r="AF123" i="22"/>
  <c r="AE123" i="22"/>
  <c r="AD123" i="22"/>
  <c r="AL122" i="22"/>
  <c r="AK122" i="22"/>
  <c r="AJ122" i="22"/>
  <c r="AI122" i="22"/>
  <c r="AH122" i="22"/>
  <c r="AG122" i="22"/>
  <c r="AF122" i="22"/>
  <c r="AE122" i="22"/>
  <c r="AD122" i="22"/>
  <c r="AL121" i="22"/>
  <c r="AK121" i="22"/>
  <c r="AJ121" i="22"/>
  <c r="AI121" i="22"/>
  <c r="AH121" i="22"/>
  <c r="AG121" i="22"/>
  <c r="AF121" i="22"/>
  <c r="AE121" i="22"/>
  <c r="AD121" i="22"/>
  <c r="AL120" i="22"/>
  <c r="AK120" i="22"/>
  <c r="AJ120" i="22"/>
  <c r="AI120" i="22"/>
  <c r="AH120" i="22"/>
  <c r="AG120" i="22"/>
  <c r="AF120" i="22"/>
  <c r="AE120" i="22"/>
  <c r="AD120" i="22"/>
  <c r="AL119" i="22"/>
  <c r="AK119" i="22"/>
  <c r="AJ119" i="22"/>
  <c r="AI119" i="22"/>
  <c r="AH119" i="22"/>
  <c r="AG119" i="22"/>
  <c r="AF119" i="22"/>
  <c r="AE119" i="22"/>
  <c r="AD119" i="22"/>
  <c r="AL118" i="22"/>
  <c r="AK118" i="22"/>
  <c r="AJ118" i="22"/>
  <c r="AI118" i="22"/>
  <c r="AH118" i="22"/>
  <c r="AG118" i="22"/>
  <c r="AF118" i="22"/>
  <c r="AE118" i="22"/>
  <c r="AD118" i="22"/>
  <c r="AL117" i="22"/>
  <c r="AK117" i="22"/>
  <c r="AJ117" i="22"/>
  <c r="AI117" i="22"/>
  <c r="AH117" i="22"/>
  <c r="AG117" i="22"/>
  <c r="AF117" i="22"/>
  <c r="AE117" i="22"/>
  <c r="AD117" i="22"/>
  <c r="AL116" i="22"/>
  <c r="AK116" i="22"/>
  <c r="AJ116" i="22"/>
  <c r="AI116" i="22"/>
  <c r="AH116" i="22"/>
  <c r="AG116" i="22"/>
  <c r="AF116" i="22"/>
  <c r="AE116" i="22"/>
  <c r="AD116" i="22"/>
  <c r="AL115" i="22"/>
  <c r="AK115" i="22"/>
  <c r="AJ115" i="22"/>
  <c r="AI115" i="22"/>
  <c r="AH115" i="22"/>
  <c r="AG115" i="22"/>
  <c r="AF115" i="22"/>
  <c r="AE115" i="22"/>
  <c r="AD115" i="22"/>
  <c r="AL114" i="22"/>
  <c r="AK114" i="22"/>
  <c r="AJ114" i="22"/>
  <c r="AI114" i="22"/>
  <c r="AH114" i="22"/>
  <c r="AG114" i="22"/>
  <c r="AF114" i="22"/>
  <c r="AE114" i="22"/>
  <c r="AD114" i="22"/>
  <c r="AL113" i="22"/>
  <c r="AK113" i="22"/>
  <c r="AJ113" i="22"/>
  <c r="AI113" i="22"/>
  <c r="AH113" i="22"/>
  <c r="AG113" i="22"/>
  <c r="AF113" i="22"/>
  <c r="AE113" i="22"/>
  <c r="AD113" i="22"/>
  <c r="L100" i="35" l="1"/>
  <c r="N100" i="35"/>
  <c r="O100" i="35" s="1"/>
  <c r="AA97" i="35"/>
  <c r="AB97" i="35" s="1"/>
  <c r="Y97" i="35"/>
  <c r="N101" i="35"/>
  <c r="O101" i="35" s="1"/>
  <c r="L101" i="35"/>
  <c r="AA98" i="35"/>
  <c r="AB98" i="35" s="1"/>
  <c r="Y98" i="35"/>
  <c r="L102" i="35"/>
  <c r="N102" i="35"/>
  <c r="O102" i="35" s="1"/>
  <c r="L99" i="35"/>
  <c r="N99" i="35"/>
  <c r="O99" i="35" s="1"/>
  <c r="N103" i="35"/>
  <c r="O103" i="35" s="1"/>
  <c r="L103" i="35"/>
  <c r="L98" i="35"/>
  <c r="N98" i="35"/>
  <c r="O98" i="35" s="1"/>
  <c r="L104" i="35"/>
  <c r="N104" i="35"/>
  <c r="O104" i="35" s="1"/>
  <c r="N96" i="35"/>
  <c r="O96" i="35" s="1"/>
  <c r="L96" i="35"/>
  <c r="BC523" i="22"/>
  <c r="BC524" i="22"/>
  <c r="AZ527" i="22"/>
  <c r="AZ529" i="22"/>
  <c r="AZ530" i="22"/>
  <c r="AZ523" i="22"/>
  <c r="AZ524" i="22"/>
  <c r="B47" i="22" l="1"/>
  <c r="H29" i="33" l="1"/>
  <c r="H35" i="33" s="1"/>
  <c r="F51" i="33"/>
  <c r="X27" i="33" s="1"/>
  <c r="F50" i="33"/>
  <c r="H44" i="33"/>
  <c r="H36" i="33"/>
  <c r="B40" i="33"/>
  <c r="B38" i="33"/>
  <c r="B36" i="33"/>
  <c r="B36" i="23"/>
  <c r="L53" i="33" l="1"/>
  <c r="L54" i="33"/>
  <c r="H27" i="33"/>
  <c r="G98" i="33"/>
  <c r="G114" i="33" s="1"/>
  <c r="R114" i="33" s="1"/>
  <c r="Y126" i="33"/>
  <c r="Y125" i="33"/>
  <c r="Y124" i="33"/>
  <c r="Y123" i="33"/>
  <c r="Y122" i="33"/>
  <c r="Y121" i="33"/>
  <c r="Y120" i="33"/>
  <c r="Y119" i="33"/>
  <c r="Y118" i="33"/>
  <c r="Y117" i="33"/>
  <c r="Y116" i="33"/>
  <c r="R125" i="33"/>
  <c r="R117" i="33"/>
  <c r="H126" i="33"/>
  <c r="H125" i="33"/>
  <c r="H124" i="33"/>
  <c r="H123" i="33"/>
  <c r="H122" i="33"/>
  <c r="H121" i="33"/>
  <c r="H120" i="33"/>
  <c r="H119" i="33"/>
  <c r="H118" i="33"/>
  <c r="H117" i="33"/>
  <c r="H116" i="33"/>
  <c r="F120" i="33"/>
  <c r="W110" i="33"/>
  <c r="W109" i="33"/>
  <c r="W108" i="33"/>
  <c r="W107" i="33"/>
  <c r="W106" i="33"/>
  <c r="W105" i="33"/>
  <c r="W104" i="33"/>
  <c r="W103" i="33"/>
  <c r="W102" i="33"/>
  <c r="W101" i="33"/>
  <c r="W100" i="33"/>
  <c r="R107" i="33"/>
  <c r="R124" i="33"/>
  <c r="G126" i="33"/>
  <c r="X126" i="33"/>
  <c r="X125" i="33"/>
  <c r="X124" i="33"/>
  <c r="X123" i="33"/>
  <c r="X122" i="33"/>
  <c r="X121" i="33"/>
  <c r="X120" i="33"/>
  <c r="X119" i="33"/>
  <c r="X118" i="33"/>
  <c r="X117" i="33"/>
  <c r="X116" i="33"/>
  <c r="R116" i="33"/>
  <c r="W126" i="33"/>
  <c r="W125" i="33"/>
  <c r="W124" i="33"/>
  <c r="W123" i="33"/>
  <c r="W122" i="33"/>
  <c r="W121" i="33"/>
  <c r="W120" i="33"/>
  <c r="W119" i="33"/>
  <c r="W118" i="33"/>
  <c r="W117" i="33"/>
  <c r="W116" i="33"/>
  <c r="R123" i="33"/>
  <c r="N126" i="33"/>
  <c r="N125" i="33"/>
  <c r="V126" i="33"/>
  <c r="V125" i="33"/>
  <c r="V124" i="33"/>
  <c r="V123" i="33"/>
  <c r="V122" i="33"/>
  <c r="V121" i="33"/>
  <c r="V120" i="33"/>
  <c r="V119" i="33"/>
  <c r="V118" i="33"/>
  <c r="V117" i="33"/>
  <c r="V116" i="33"/>
  <c r="R122" i="33"/>
  <c r="M126" i="33"/>
  <c r="M125" i="33"/>
  <c r="M124" i="33"/>
  <c r="M123" i="33"/>
  <c r="M122" i="33"/>
  <c r="M121" i="33"/>
  <c r="M120" i="33"/>
  <c r="M119" i="33"/>
  <c r="M118" i="33"/>
  <c r="M117" i="33"/>
  <c r="M116" i="33"/>
  <c r="F125" i="33"/>
  <c r="F117" i="33"/>
  <c r="T110" i="33"/>
  <c r="T109" i="33"/>
  <c r="T108" i="33"/>
  <c r="T107" i="33"/>
  <c r="T106" i="33"/>
  <c r="T105" i="33"/>
  <c r="T104" i="33"/>
  <c r="T103" i="33"/>
  <c r="T102" i="33"/>
  <c r="T101" i="33"/>
  <c r="T100" i="33"/>
  <c r="K122" i="33"/>
  <c r="K118" i="33"/>
  <c r="F123" i="33"/>
  <c r="Z108" i="33"/>
  <c r="Z105" i="33"/>
  <c r="Z102" i="33"/>
  <c r="R110" i="33"/>
  <c r="Z125" i="33"/>
  <c r="Z121" i="33"/>
  <c r="Z118" i="33"/>
  <c r="R126" i="33"/>
  <c r="I124" i="33"/>
  <c r="U126" i="33"/>
  <c r="U125" i="33"/>
  <c r="U124" i="33"/>
  <c r="U123" i="33"/>
  <c r="U122" i="33"/>
  <c r="U121" i="33"/>
  <c r="U120" i="33"/>
  <c r="U119" i="33"/>
  <c r="U118" i="33"/>
  <c r="U117" i="33"/>
  <c r="U116" i="33"/>
  <c r="R121" i="33"/>
  <c r="L126" i="33"/>
  <c r="L125" i="33"/>
  <c r="L124" i="33"/>
  <c r="L123" i="33"/>
  <c r="L122" i="33"/>
  <c r="L121" i="33"/>
  <c r="L120" i="33"/>
  <c r="L119" i="33"/>
  <c r="L118" i="33"/>
  <c r="L117" i="33"/>
  <c r="L116" i="33"/>
  <c r="F124" i="33"/>
  <c r="F116" i="33"/>
  <c r="S110" i="33"/>
  <c r="S109" i="33"/>
  <c r="S108" i="33"/>
  <c r="S107" i="33"/>
  <c r="S106" i="33"/>
  <c r="S105" i="33"/>
  <c r="S104" i="33"/>
  <c r="S103" i="33"/>
  <c r="S102" i="33"/>
  <c r="S101" i="33"/>
  <c r="S100" i="33"/>
  <c r="K120" i="33"/>
  <c r="K116" i="33"/>
  <c r="Z109" i="33"/>
  <c r="Z106" i="33"/>
  <c r="Z103" i="33"/>
  <c r="Z100" i="33"/>
  <c r="Z124" i="33"/>
  <c r="Z119" i="33"/>
  <c r="R118" i="33"/>
  <c r="I122" i="33"/>
  <c r="T126" i="33"/>
  <c r="T125" i="33"/>
  <c r="T124" i="33"/>
  <c r="T123" i="33"/>
  <c r="T122" i="33"/>
  <c r="T121" i="33"/>
  <c r="T120" i="33"/>
  <c r="T119" i="33"/>
  <c r="T118" i="33"/>
  <c r="T117" i="33"/>
  <c r="T116" i="33"/>
  <c r="R120" i="33"/>
  <c r="K126" i="33"/>
  <c r="AI126" i="33" s="1"/>
  <c r="K125" i="33"/>
  <c r="K124" i="33"/>
  <c r="K123" i="33"/>
  <c r="K121" i="33"/>
  <c r="K119" i="33"/>
  <c r="K117" i="33"/>
  <c r="Z110" i="33"/>
  <c r="Z107" i="33"/>
  <c r="Z104" i="33"/>
  <c r="Z101" i="33"/>
  <c r="Z123" i="33"/>
  <c r="Z120" i="33"/>
  <c r="Z116" i="33"/>
  <c r="I125" i="33"/>
  <c r="I121" i="33"/>
  <c r="S126" i="33"/>
  <c r="S125" i="33"/>
  <c r="S124" i="33"/>
  <c r="S123" i="33"/>
  <c r="S122" i="33"/>
  <c r="S121" i="33"/>
  <c r="S120" i="33"/>
  <c r="S119" i="33"/>
  <c r="S118" i="33"/>
  <c r="S117" i="33"/>
  <c r="S116" i="33"/>
  <c r="R119" i="33"/>
  <c r="J126" i="33"/>
  <c r="J125" i="33"/>
  <c r="J124" i="33"/>
  <c r="J123" i="33"/>
  <c r="J122" i="33"/>
  <c r="J121" i="33"/>
  <c r="J120" i="33"/>
  <c r="J119" i="33"/>
  <c r="J118" i="33"/>
  <c r="J117" i="33"/>
  <c r="J116" i="33"/>
  <c r="F122" i="33"/>
  <c r="Y110" i="33"/>
  <c r="Y109" i="33"/>
  <c r="Y108" i="33"/>
  <c r="Y107" i="33"/>
  <c r="Y106" i="33"/>
  <c r="Y105" i="33"/>
  <c r="Y104" i="33"/>
  <c r="Y103" i="33"/>
  <c r="Y102" i="33"/>
  <c r="Y101" i="33"/>
  <c r="Y100" i="33"/>
  <c r="R109" i="33"/>
  <c r="Z126" i="33"/>
  <c r="Z122" i="33"/>
  <c r="Z117" i="33"/>
  <c r="I126" i="33"/>
  <c r="I123" i="33"/>
  <c r="N123" i="33"/>
  <c r="G120" i="33"/>
  <c r="I117" i="33"/>
  <c r="F118" i="33"/>
  <c r="V108" i="33"/>
  <c r="X105" i="33"/>
  <c r="U103" i="33"/>
  <c r="V100" i="33"/>
  <c r="V105" i="33"/>
  <c r="U100" i="33"/>
  <c r="N122" i="33"/>
  <c r="N116" i="33"/>
  <c r="V110" i="33"/>
  <c r="U105" i="33"/>
  <c r="R108" i="33"/>
  <c r="V104" i="33"/>
  <c r="G125" i="33"/>
  <c r="I118" i="33"/>
  <c r="X106" i="33"/>
  <c r="N124" i="33"/>
  <c r="F121" i="33"/>
  <c r="V106" i="33"/>
  <c r="I120" i="33"/>
  <c r="F119" i="33"/>
  <c r="V103" i="33"/>
  <c r="G123" i="33"/>
  <c r="N119" i="33"/>
  <c r="G117" i="33"/>
  <c r="X110" i="33"/>
  <c r="U108" i="33"/>
  <c r="X102" i="33"/>
  <c r="I119" i="33"/>
  <c r="X107" i="33"/>
  <c r="V102" i="33"/>
  <c r="X109" i="33"/>
  <c r="X101" i="33"/>
  <c r="G121" i="33"/>
  <c r="U104" i="33"/>
  <c r="N120" i="33"/>
  <c r="U109" i="33"/>
  <c r="U101" i="33"/>
  <c r="N117" i="33"/>
  <c r="U106" i="33"/>
  <c r="G122" i="33"/>
  <c r="AE122" i="33" s="1"/>
  <c r="G119" i="33"/>
  <c r="I116" i="33"/>
  <c r="U110" i="33"/>
  <c r="V107" i="33"/>
  <c r="X104" i="33"/>
  <c r="U102" i="33"/>
  <c r="R106" i="33"/>
  <c r="N121" i="33"/>
  <c r="N118" i="33"/>
  <c r="G116" i="33"/>
  <c r="U107" i="33"/>
  <c r="R105" i="33"/>
  <c r="F126" i="33"/>
  <c r="V109" i="33"/>
  <c r="V101" i="33"/>
  <c r="G118" i="33"/>
  <c r="X103" i="33"/>
  <c r="G124" i="33"/>
  <c r="X108" i="33"/>
  <c r="X100" i="33"/>
  <c r="R98" i="33"/>
  <c r="R103" i="33"/>
  <c r="M109" i="33"/>
  <c r="M106" i="33"/>
  <c r="F104" i="33"/>
  <c r="L101" i="33"/>
  <c r="R102" i="33"/>
  <c r="L110" i="33"/>
  <c r="L109" i="33"/>
  <c r="L108" i="33"/>
  <c r="L107" i="33"/>
  <c r="L103" i="33"/>
  <c r="R101" i="33"/>
  <c r="F110" i="33"/>
  <c r="K110" i="33"/>
  <c r="K109" i="33"/>
  <c r="K108" i="33"/>
  <c r="K107" i="33"/>
  <c r="K106" i="33"/>
  <c r="K105" i="33"/>
  <c r="K104" i="33"/>
  <c r="K103" i="33"/>
  <c r="K102" i="33"/>
  <c r="K101" i="33"/>
  <c r="K100" i="33"/>
  <c r="F102" i="33"/>
  <c r="J110" i="33"/>
  <c r="J108" i="33"/>
  <c r="J106" i="33"/>
  <c r="J104" i="33"/>
  <c r="J102" i="33"/>
  <c r="J100" i="33"/>
  <c r="F101" i="33"/>
  <c r="F108" i="33"/>
  <c r="I110" i="33"/>
  <c r="I108" i="33"/>
  <c r="I106" i="33"/>
  <c r="I103" i="33"/>
  <c r="I101" i="33"/>
  <c r="F100" i="33"/>
  <c r="N110" i="33"/>
  <c r="N107" i="33"/>
  <c r="N104" i="33"/>
  <c r="N100" i="33"/>
  <c r="M108" i="33"/>
  <c r="M105" i="33"/>
  <c r="M101" i="33"/>
  <c r="L104" i="33"/>
  <c r="F103" i="33"/>
  <c r="R100" i="33"/>
  <c r="F109" i="33"/>
  <c r="J109" i="33"/>
  <c r="J107" i="33"/>
  <c r="J105" i="33"/>
  <c r="J103" i="33"/>
  <c r="J101" i="33"/>
  <c r="I109" i="33"/>
  <c r="I107" i="33"/>
  <c r="I105" i="33"/>
  <c r="I104" i="33"/>
  <c r="I102" i="33"/>
  <c r="I100" i="33"/>
  <c r="N109" i="33"/>
  <c r="N106" i="33"/>
  <c r="N103" i="33"/>
  <c r="N101" i="33"/>
  <c r="F105" i="33"/>
  <c r="M110" i="33"/>
  <c r="M104" i="33"/>
  <c r="M102" i="33"/>
  <c r="L106" i="33"/>
  <c r="L102" i="33"/>
  <c r="F107" i="33"/>
  <c r="H110" i="33"/>
  <c r="H109" i="33"/>
  <c r="H108" i="33"/>
  <c r="H107" i="33"/>
  <c r="H106" i="33"/>
  <c r="H105" i="33"/>
  <c r="H104" i="33"/>
  <c r="H103" i="33"/>
  <c r="H102" i="33"/>
  <c r="H101" i="33"/>
  <c r="H100" i="33"/>
  <c r="F106" i="33"/>
  <c r="G110" i="33"/>
  <c r="G109" i="33"/>
  <c r="G108" i="33"/>
  <c r="G107" i="33"/>
  <c r="G106" i="33"/>
  <c r="G105" i="33"/>
  <c r="G104" i="33"/>
  <c r="G103" i="33"/>
  <c r="G102" i="33"/>
  <c r="G101" i="33"/>
  <c r="G100" i="33"/>
  <c r="R104" i="33"/>
  <c r="N108" i="33"/>
  <c r="N105" i="33"/>
  <c r="N102" i="33"/>
  <c r="M107" i="33"/>
  <c r="M103" i="33"/>
  <c r="M100" i="33"/>
  <c r="L105" i="33"/>
  <c r="L100" i="33"/>
  <c r="P54" i="33"/>
  <c r="AB93" i="33"/>
  <c r="T93" i="33"/>
  <c r="W92" i="33"/>
  <c r="Z91" i="33"/>
  <c r="R91" i="33"/>
  <c r="U90" i="33"/>
  <c r="X89" i="33"/>
  <c r="O93" i="33"/>
  <c r="G93" i="33"/>
  <c r="J92" i="33"/>
  <c r="J63" i="33" s="1"/>
  <c r="M43" i="33" s="1"/>
  <c r="M91" i="33"/>
  <c r="P90" i="33"/>
  <c r="P58" i="33" s="1"/>
  <c r="H90" i="33"/>
  <c r="H58" i="33" s="1"/>
  <c r="K89" i="33"/>
  <c r="Z84" i="33"/>
  <c r="R84" i="33"/>
  <c r="U83" i="33"/>
  <c r="X82" i="33"/>
  <c r="AA81" i="33"/>
  <c r="S81" i="33"/>
  <c r="V80" i="33"/>
  <c r="AB75" i="33"/>
  <c r="T75" i="33"/>
  <c r="W74" i="33"/>
  <c r="Z73" i="33"/>
  <c r="R73" i="33"/>
  <c r="U72" i="33"/>
  <c r="X71" i="33"/>
  <c r="O84" i="33"/>
  <c r="G84" i="33"/>
  <c r="J83" i="33"/>
  <c r="J62" i="33" s="1"/>
  <c r="M36" i="33" s="1"/>
  <c r="M82" i="33"/>
  <c r="P81" i="33"/>
  <c r="P57" i="33" s="1"/>
  <c r="S35" i="33" s="1"/>
  <c r="H81" i="33"/>
  <c r="H57" i="33" s="1"/>
  <c r="K35" i="33" s="1"/>
  <c r="K80" i="33"/>
  <c r="AA93" i="33"/>
  <c r="S93" i="33"/>
  <c r="V92" i="33"/>
  <c r="Y91" i="33"/>
  <c r="AB90" i="33"/>
  <c r="T90" i="33"/>
  <c r="W89" i="33"/>
  <c r="N93" i="33"/>
  <c r="F93" i="33"/>
  <c r="I92" i="33"/>
  <c r="I63" i="33" s="1"/>
  <c r="L43" i="33" s="1"/>
  <c r="L91" i="33"/>
  <c r="O90" i="33"/>
  <c r="O58" i="33" s="1"/>
  <c r="G90" i="33"/>
  <c r="G58" i="33" s="1"/>
  <c r="J89" i="33"/>
  <c r="Y84" i="33"/>
  <c r="AB83" i="33"/>
  <c r="T83" i="33"/>
  <c r="W82" i="33"/>
  <c r="Z81" i="33"/>
  <c r="R81" i="33"/>
  <c r="U80" i="33"/>
  <c r="AA75" i="33"/>
  <c r="S75" i="33"/>
  <c r="V74" i="33"/>
  <c r="Y73" i="33"/>
  <c r="AB72" i="33"/>
  <c r="T72" i="33"/>
  <c r="W71" i="33"/>
  <c r="N84" i="33"/>
  <c r="F84" i="33"/>
  <c r="I83" i="33"/>
  <c r="I62" i="33" s="1"/>
  <c r="L36" i="33" s="1"/>
  <c r="L82" i="33"/>
  <c r="O81" i="33"/>
  <c r="O57" i="33" s="1"/>
  <c r="R35" i="33" s="1"/>
  <c r="G81" i="33"/>
  <c r="G57" i="33" s="1"/>
  <c r="J35" i="33" s="1"/>
  <c r="J80" i="33"/>
  <c r="Z93" i="33"/>
  <c r="R93" i="33"/>
  <c r="U92" i="33"/>
  <c r="X91" i="33"/>
  <c r="AA90" i="33"/>
  <c r="S90" i="33"/>
  <c r="V89" i="33"/>
  <c r="M93" i="33"/>
  <c r="P92" i="33"/>
  <c r="P63" i="33" s="1"/>
  <c r="S43" i="33" s="1"/>
  <c r="H92" i="33"/>
  <c r="H63" i="33" s="1"/>
  <c r="K43" i="33" s="1"/>
  <c r="K91" i="33"/>
  <c r="N90" i="33"/>
  <c r="N58" i="33" s="1"/>
  <c r="F90" i="33"/>
  <c r="F58" i="33" s="1"/>
  <c r="I89" i="33"/>
  <c r="X84" i="33"/>
  <c r="AA83" i="33"/>
  <c r="S83" i="33"/>
  <c r="V82" i="33"/>
  <c r="Y81" i="33"/>
  <c r="AB80" i="33"/>
  <c r="T80" i="33"/>
  <c r="Z75" i="33"/>
  <c r="R75" i="33"/>
  <c r="U74" i="33"/>
  <c r="X73" i="33"/>
  <c r="AA72" i="33"/>
  <c r="S72" i="33"/>
  <c r="V71" i="33"/>
  <c r="M84" i="33"/>
  <c r="P83" i="33"/>
  <c r="P62" i="33" s="1"/>
  <c r="S36" i="33" s="1"/>
  <c r="H83" i="33"/>
  <c r="H62" i="33" s="1"/>
  <c r="K36" i="33" s="1"/>
  <c r="K82" i="33"/>
  <c r="N81" i="33"/>
  <c r="N57" i="33" s="1"/>
  <c r="Q35" i="33" s="1"/>
  <c r="F81" i="33"/>
  <c r="F57" i="33" s="1"/>
  <c r="I35" i="33" s="1"/>
  <c r="I80" i="33"/>
  <c r="R92" i="33"/>
  <c r="AA89" i="33"/>
  <c r="J93" i="33"/>
  <c r="H91" i="33"/>
  <c r="F89" i="33"/>
  <c r="AA82" i="33"/>
  <c r="V81" i="33"/>
  <c r="R74" i="33"/>
  <c r="AA71" i="33"/>
  <c r="M83" i="33"/>
  <c r="M62" i="33" s="1"/>
  <c r="P36" i="33" s="1"/>
  <c r="K81" i="33"/>
  <c r="K57" i="33" s="1"/>
  <c r="N35" i="33" s="1"/>
  <c r="AB81" i="33"/>
  <c r="X74" i="33"/>
  <c r="H84" i="33"/>
  <c r="L80" i="33"/>
  <c r="Y93" i="33"/>
  <c r="AB92" i="33"/>
  <c r="T92" i="33"/>
  <c r="W91" i="33"/>
  <c r="Z90" i="33"/>
  <c r="R90" i="33"/>
  <c r="U89" i="33"/>
  <c r="L93" i="33"/>
  <c r="O92" i="33"/>
  <c r="O63" i="33" s="1"/>
  <c r="R43" i="33" s="1"/>
  <c r="G92" i="33"/>
  <c r="G63" i="33" s="1"/>
  <c r="J43" i="33" s="1"/>
  <c r="J91" i="33"/>
  <c r="M90" i="33"/>
  <c r="M58" i="33" s="1"/>
  <c r="P89" i="33"/>
  <c r="H89" i="33"/>
  <c r="W84" i="33"/>
  <c r="Z83" i="33"/>
  <c r="R83" i="33"/>
  <c r="U82" i="33"/>
  <c r="X81" i="33"/>
  <c r="AA80" i="33"/>
  <c r="S80" i="33"/>
  <c r="Y75" i="33"/>
  <c r="AB74" i="33"/>
  <c r="T74" i="33"/>
  <c r="W73" i="33"/>
  <c r="Z72" i="33"/>
  <c r="R72" i="33"/>
  <c r="U71" i="33"/>
  <c r="L84" i="33"/>
  <c r="O83" i="33"/>
  <c r="O62" i="33" s="1"/>
  <c r="R36" i="33" s="1"/>
  <c r="G83" i="33"/>
  <c r="G62" i="33" s="1"/>
  <c r="J36" i="33" s="1"/>
  <c r="J82" i="33"/>
  <c r="M81" i="33"/>
  <c r="M57" i="33" s="1"/>
  <c r="P35" i="33" s="1"/>
  <c r="P80" i="33"/>
  <c r="H80" i="33"/>
  <c r="Z92" i="33"/>
  <c r="U91" i="33"/>
  <c r="S89" i="33"/>
  <c r="P91" i="33"/>
  <c r="N89" i="33"/>
  <c r="X83" i="33"/>
  <c r="Z74" i="33"/>
  <c r="X72" i="33"/>
  <c r="J84" i="33"/>
  <c r="H82" i="33"/>
  <c r="F80" i="33"/>
  <c r="W80" i="33"/>
  <c r="V72" i="33"/>
  <c r="K83" i="33"/>
  <c r="K62" i="33" s="1"/>
  <c r="N36" i="33" s="1"/>
  <c r="I81" i="33"/>
  <c r="I57" i="33" s="1"/>
  <c r="L35" i="33" s="1"/>
  <c r="X93" i="33"/>
  <c r="AA92" i="33"/>
  <c r="S92" i="33"/>
  <c r="V91" i="33"/>
  <c r="Y90" i="33"/>
  <c r="AB89" i="33"/>
  <c r="T89" i="33"/>
  <c r="K93" i="33"/>
  <c r="N92" i="33"/>
  <c r="N63" i="33" s="1"/>
  <c r="Q43" i="33" s="1"/>
  <c r="F92" i="33"/>
  <c r="F63" i="33" s="1"/>
  <c r="I43" i="33" s="1"/>
  <c r="I91" i="33"/>
  <c r="L90" i="33"/>
  <c r="L58" i="33" s="1"/>
  <c r="O89" i="33"/>
  <c r="G89" i="33"/>
  <c r="V84" i="33"/>
  <c r="Y83" i="33"/>
  <c r="AB82" i="33"/>
  <c r="T82" i="33"/>
  <c r="W81" i="33"/>
  <c r="Z80" i="33"/>
  <c r="R80" i="33"/>
  <c r="X75" i="33"/>
  <c r="AA74" i="33"/>
  <c r="S74" i="33"/>
  <c r="V73" i="33"/>
  <c r="Y72" i="33"/>
  <c r="AB71" i="33"/>
  <c r="T71" i="33"/>
  <c r="K84" i="33"/>
  <c r="N83" i="33"/>
  <c r="N62" i="33" s="1"/>
  <c r="Q36" i="33" s="1"/>
  <c r="F83" i="33"/>
  <c r="F62" i="33" s="1"/>
  <c r="I36" i="33" s="1"/>
  <c r="I82" i="33"/>
  <c r="L81" i="33"/>
  <c r="L57" i="33" s="1"/>
  <c r="O35" i="33" s="1"/>
  <c r="O80" i="33"/>
  <c r="G80" i="33"/>
  <c r="W93" i="33"/>
  <c r="X90" i="33"/>
  <c r="M92" i="33"/>
  <c r="M63" i="33" s="1"/>
  <c r="P43" i="33" s="1"/>
  <c r="K90" i="33"/>
  <c r="K58" i="33" s="1"/>
  <c r="U84" i="33"/>
  <c r="S82" i="33"/>
  <c r="Y80" i="33"/>
  <c r="W75" i="33"/>
  <c r="U73" i="33"/>
  <c r="S71" i="33"/>
  <c r="P82" i="33"/>
  <c r="N80" i="33"/>
  <c r="T81" i="33"/>
  <c r="AA73" i="33"/>
  <c r="P84" i="33"/>
  <c r="F82" i="33"/>
  <c r="V93" i="33"/>
  <c r="Y92" i="33"/>
  <c r="AB91" i="33"/>
  <c r="T91" i="33"/>
  <c r="W90" i="33"/>
  <c r="Z89" i="33"/>
  <c r="R89" i="33"/>
  <c r="I93" i="33"/>
  <c r="L92" i="33"/>
  <c r="L63" i="33" s="1"/>
  <c r="O43" i="33" s="1"/>
  <c r="O91" i="33"/>
  <c r="G91" i="33"/>
  <c r="J90" i="33"/>
  <c r="J58" i="33" s="1"/>
  <c r="M89" i="33"/>
  <c r="AB84" i="33"/>
  <c r="T84" i="33"/>
  <c r="W83" i="33"/>
  <c r="Z82" i="33"/>
  <c r="R82" i="33"/>
  <c r="U81" i="33"/>
  <c r="X80" i="33"/>
  <c r="V75" i="33"/>
  <c r="Y74" i="33"/>
  <c r="AB73" i="33"/>
  <c r="T73" i="33"/>
  <c r="W72" i="33"/>
  <c r="Z71" i="33"/>
  <c r="R71" i="33"/>
  <c r="I84" i="33"/>
  <c r="L83" i="33"/>
  <c r="L62" i="33" s="1"/>
  <c r="O36" i="33" s="1"/>
  <c r="O82" i="33"/>
  <c r="G82" i="33"/>
  <c r="J81" i="33"/>
  <c r="J57" i="33" s="1"/>
  <c r="M35" i="33" s="1"/>
  <c r="M80" i="33"/>
  <c r="U93" i="33"/>
  <c r="X92" i="33"/>
  <c r="AA91" i="33"/>
  <c r="S91" i="33"/>
  <c r="V90" i="33"/>
  <c r="Y89" i="33"/>
  <c r="P93" i="33"/>
  <c r="H93" i="33"/>
  <c r="K92" i="33"/>
  <c r="K63" i="33" s="1"/>
  <c r="N43" i="33" s="1"/>
  <c r="N91" i="33"/>
  <c r="F91" i="33"/>
  <c r="I90" i="33"/>
  <c r="I58" i="33" s="1"/>
  <c r="L89" i="33"/>
  <c r="AA84" i="33"/>
  <c r="S84" i="33"/>
  <c r="V83" i="33"/>
  <c r="Y82" i="33"/>
  <c r="U75" i="33"/>
  <c r="S73" i="33"/>
  <c r="Y71" i="33"/>
  <c r="N82" i="33"/>
  <c r="Z87" i="23"/>
  <c r="R87" i="23"/>
  <c r="U86" i="23"/>
  <c r="X85" i="23"/>
  <c r="AA84" i="23"/>
  <c r="S84" i="23"/>
  <c r="V83" i="23"/>
  <c r="M87" i="23"/>
  <c r="P86" i="23"/>
  <c r="H86" i="23"/>
  <c r="K85" i="23"/>
  <c r="N84" i="23"/>
  <c r="F84" i="23"/>
  <c r="I83" i="23"/>
  <c r="X78" i="23"/>
  <c r="AA77" i="23"/>
  <c r="S77" i="23"/>
  <c r="V76" i="23"/>
  <c r="Y75" i="23"/>
  <c r="AB74" i="23"/>
  <c r="T74" i="23"/>
  <c r="K78" i="23"/>
  <c r="N77" i="23"/>
  <c r="F77" i="23"/>
  <c r="I76" i="23"/>
  <c r="L75" i="23"/>
  <c r="O74" i="23"/>
  <c r="G74" i="23"/>
  <c r="V69" i="23"/>
  <c r="Y68" i="23"/>
  <c r="AB67" i="23"/>
  <c r="T67" i="23"/>
  <c r="W66" i="23"/>
  <c r="Z65" i="23"/>
  <c r="R65" i="23"/>
  <c r="M84" i="23"/>
  <c r="U76" i="23"/>
  <c r="M77" i="23"/>
  <c r="K75" i="23"/>
  <c r="S67" i="23"/>
  <c r="Y87" i="23"/>
  <c r="AB86" i="23"/>
  <c r="T86" i="23"/>
  <c r="W85" i="23"/>
  <c r="Z84" i="23"/>
  <c r="R84" i="23"/>
  <c r="U83" i="23"/>
  <c r="L87" i="23"/>
  <c r="O86" i="23"/>
  <c r="G86" i="23"/>
  <c r="J85" i="23"/>
  <c r="X87" i="23"/>
  <c r="AA86" i="23"/>
  <c r="S86" i="23"/>
  <c r="V85" i="23"/>
  <c r="Y84" i="23"/>
  <c r="AB83" i="23"/>
  <c r="T83" i="23"/>
  <c r="K87" i="23"/>
  <c r="N86" i="23"/>
  <c r="F86" i="23"/>
  <c r="I85" i="23"/>
  <c r="L84" i="23"/>
  <c r="O83" i="23"/>
  <c r="G83" i="23"/>
  <c r="V78" i="23"/>
  <c r="Y77" i="23"/>
  <c r="AB76" i="23"/>
  <c r="T76" i="23"/>
  <c r="W75" i="23"/>
  <c r="Z74" i="23"/>
  <c r="R74" i="23"/>
  <c r="I78" i="23"/>
  <c r="L77" i="23"/>
  <c r="O76" i="23"/>
  <c r="G76" i="23"/>
  <c r="J75" i="23"/>
  <c r="M74" i="23"/>
  <c r="AB69" i="23"/>
  <c r="T69" i="23"/>
  <c r="W68" i="23"/>
  <c r="Z67" i="23"/>
  <c r="R67" i="23"/>
  <c r="U66" i="23"/>
  <c r="X65" i="23"/>
  <c r="R77" i="23"/>
  <c r="N74" i="23"/>
  <c r="V66" i="23"/>
  <c r="W87" i="23"/>
  <c r="Z86" i="23"/>
  <c r="R86" i="23"/>
  <c r="U85" i="23"/>
  <c r="X84" i="23"/>
  <c r="AA83" i="23"/>
  <c r="S83" i="23"/>
  <c r="J87" i="23"/>
  <c r="M86" i="23"/>
  <c r="P85" i="23"/>
  <c r="H85" i="23"/>
  <c r="K84" i="23"/>
  <c r="N83" i="23"/>
  <c r="F83" i="23"/>
  <c r="U78" i="23"/>
  <c r="X77" i="23"/>
  <c r="AA76" i="23"/>
  <c r="S76" i="23"/>
  <c r="V75" i="23"/>
  <c r="Y74" i="23"/>
  <c r="P78" i="23"/>
  <c r="H78" i="23"/>
  <c r="K77" i="23"/>
  <c r="N76" i="23"/>
  <c r="F76" i="23"/>
  <c r="I75" i="23"/>
  <c r="L74" i="23"/>
  <c r="AA69" i="23"/>
  <c r="S69" i="23"/>
  <c r="V68" i="23"/>
  <c r="Y67" i="23"/>
  <c r="AB66" i="23"/>
  <c r="T66" i="23"/>
  <c r="W65" i="23"/>
  <c r="U87" i="23"/>
  <c r="AA85" i="23"/>
  <c r="V84" i="23"/>
  <c r="P87" i="23"/>
  <c r="H87" i="23"/>
  <c r="N85" i="23"/>
  <c r="I84" i="23"/>
  <c r="AA78" i="23"/>
  <c r="V77" i="23"/>
  <c r="AB75" i="23"/>
  <c r="W74" i="23"/>
  <c r="F78" i="23"/>
  <c r="O75" i="23"/>
  <c r="J74" i="23"/>
  <c r="AB68" i="23"/>
  <c r="W67" i="23"/>
  <c r="U65" i="23"/>
  <c r="P74" i="23"/>
  <c r="R68" i="23"/>
  <c r="AA65" i="23"/>
  <c r="W78" i="23"/>
  <c r="X75" i="23"/>
  <c r="P76" i="23"/>
  <c r="U69" i="23"/>
  <c r="V87" i="23"/>
  <c r="Y86" i="23"/>
  <c r="AB85" i="23"/>
  <c r="T85" i="23"/>
  <c r="W84" i="23"/>
  <c r="Z83" i="23"/>
  <c r="R83" i="23"/>
  <c r="I87" i="23"/>
  <c r="L86" i="23"/>
  <c r="O85" i="23"/>
  <c r="G85" i="23"/>
  <c r="J84" i="23"/>
  <c r="M83" i="23"/>
  <c r="AB78" i="23"/>
  <c r="T78" i="23"/>
  <c r="W77" i="23"/>
  <c r="Z76" i="23"/>
  <c r="R76" i="23"/>
  <c r="U75" i="23"/>
  <c r="X74" i="23"/>
  <c r="O78" i="23"/>
  <c r="G78" i="23"/>
  <c r="J77" i="23"/>
  <c r="M76" i="23"/>
  <c r="P75" i="23"/>
  <c r="H75" i="23"/>
  <c r="K74" i="23"/>
  <c r="Z69" i="23"/>
  <c r="R69" i="23"/>
  <c r="U68" i="23"/>
  <c r="X67" i="23"/>
  <c r="AA66" i="23"/>
  <c r="S66" i="23"/>
  <c r="V65" i="23"/>
  <c r="X86" i="23"/>
  <c r="S85" i="23"/>
  <c r="Y83" i="23"/>
  <c r="K86" i="23"/>
  <c r="F85" i="23"/>
  <c r="L83" i="23"/>
  <c r="S78" i="23"/>
  <c r="Y76" i="23"/>
  <c r="T75" i="23"/>
  <c r="N78" i="23"/>
  <c r="I77" i="23"/>
  <c r="L76" i="23"/>
  <c r="G75" i="23"/>
  <c r="Y69" i="23"/>
  <c r="T68" i="23"/>
  <c r="Z66" i="23"/>
  <c r="M75" i="23"/>
  <c r="U67" i="23"/>
  <c r="P83" i="23"/>
  <c r="J78" i="23"/>
  <c r="AA67" i="23"/>
  <c r="R66" i="23"/>
  <c r="Z68" i="23"/>
  <c r="S65" i="23"/>
  <c r="Z77" i="23"/>
  <c r="AA74" i="23"/>
  <c r="H76" i="23"/>
  <c r="X68" i="23"/>
  <c r="Y65" i="23"/>
  <c r="AB87" i="23"/>
  <c r="T87" i="23"/>
  <c r="W86" i="23"/>
  <c r="Z85" i="23"/>
  <c r="R85" i="23"/>
  <c r="U84" i="23"/>
  <c r="X83" i="23"/>
  <c r="O87" i="23"/>
  <c r="G87" i="23"/>
  <c r="J86" i="23"/>
  <c r="M85" i="23"/>
  <c r="P84" i="23"/>
  <c r="H84" i="23"/>
  <c r="K83" i="23"/>
  <c r="Z78" i="23"/>
  <c r="R78" i="23"/>
  <c r="U77" i="23"/>
  <c r="X76" i="23"/>
  <c r="AA75" i="23"/>
  <c r="S75" i="23"/>
  <c r="V74" i="23"/>
  <c r="M78" i="23"/>
  <c r="P77" i="23"/>
  <c r="H77" i="23"/>
  <c r="K76" i="23"/>
  <c r="N75" i="23"/>
  <c r="F75" i="23"/>
  <c r="I74" i="23"/>
  <c r="X69" i="23"/>
  <c r="AA68" i="23"/>
  <c r="S68" i="23"/>
  <c r="V67" i="23"/>
  <c r="Y66" i="23"/>
  <c r="AB65" i="23"/>
  <c r="T65" i="23"/>
  <c r="AA87" i="23"/>
  <c r="S87" i="23"/>
  <c r="V86" i="23"/>
  <c r="Y85" i="23"/>
  <c r="AB84" i="23"/>
  <c r="T84" i="23"/>
  <c r="W83" i="23"/>
  <c r="N87" i="23"/>
  <c r="F87" i="23"/>
  <c r="I86" i="23"/>
  <c r="L85" i="23"/>
  <c r="O84" i="23"/>
  <c r="G84" i="23"/>
  <c r="J83" i="23"/>
  <c r="Y78" i="23"/>
  <c r="AB77" i="23"/>
  <c r="T77" i="23"/>
  <c r="W76" i="23"/>
  <c r="Z75" i="23"/>
  <c r="R75" i="23"/>
  <c r="U74" i="23"/>
  <c r="L78" i="23"/>
  <c r="O77" i="23"/>
  <c r="G77" i="23"/>
  <c r="J76" i="23"/>
  <c r="H74" i="23"/>
  <c r="W69" i="23"/>
  <c r="X66" i="23"/>
  <c r="H83" i="23"/>
  <c r="S74" i="23"/>
  <c r="F74" i="23"/>
  <c r="H42" i="33"/>
  <c r="H43" i="33"/>
  <c r="M75" i="33"/>
  <c r="I75" i="33"/>
  <c r="O74" i="33"/>
  <c r="K74" i="33"/>
  <c r="G74" i="33"/>
  <c r="P75" i="33"/>
  <c r="L75" i="33"/>
  <c r="H75" i="33"/>
  <c r="N74" i="33"/>
  <c r="J74" i="33"/>
  <c r="F74" i="33"/>
  <c r="O75" i="33"/>
  <c r="K75" i="33"/>
  <c r="G75" i="33"/>
  <c r="M74" i="33"/>
  <c r="I74" i="33"/>
  <c r="F75" i="33"/>
  <c r="L74" i="33"/>
  <c r="N73" i="33"/>
  <c r="N61" i="33" s="1"/>
  <c r="J73" i="33"/>
  <c r="J61" i="33" s="1"/>
  <c r="F73" i="33"/>
  <c r="F61" i="33" s="1"/>
  <c r="P72" i="33"/>
  <c r="L72" i="33"/>
  <c r="H72" i="33"/>
  <c r="N71" i="33"/>
  <c r="J71" i="33"/>
  <c r="F71" i="33"/>
  <c r="O73" i="33"/>
  <c r="O61" i="33" s="1"/>
  <c r="I72" i="33"/>
  <c r="G71" i="33"/>
  <c r="H74" i="33"/>
  <c r="M73" i="33"/>
  <c r="M61" i="33" s="1"/>
  <c r="I73" i="33"/>
  <c r="I61" i="33" s="1"/>
  <c r="O72" i="33"/>
  <c r="K72" i="33"/>
  <c r="G72" i="33"/>
  <c r="M71" i="33"/>
  <c r="I71" i="33"/>
  <c r="P74" i="33"/>
  <c r="K73" i="33"/>
  <c r="K61" i="33" s="1"/>
  <c r="M72" i="33"/>
  <c r="K71" i="33"/>
  <c r="N75" i="33"/>
  <c r="P73" i="33"/>
  <c r="P61" i="33" s="1"/>
  <c r="S30" i="33" s="1"/>
  <c r="L73" i="33"/>
  <c r="L61" i="33" s="1"/>
  <c r="H73" i="33"/>
  <c r="H61" i="33" s="1"/>
  <c r="N72" i="33"/>
  <c r="J72" i="33"/>
  <c r="F72" i="33"/>
  <c r="P71" i="33"/>
  <c r="L71" i="33"/>
  <c r="H71" i="33"/>
  <c r="J75" i="33"/>
  <c r="G73" i="33"/>
  <c r="G61" i="33" s="1"/>
  <c r="O71" i="33"/>
  <c r="B52" i="22"/>
  <c r="B59" i="22"/>
  <c r="B58" i="22"/>
  <c r="AE107" i="33" l="1"/>
  <c r="AE100" i="33"/>
  <c r="AE103" i="33"/>
  <c r="AK104" i="33"/>
  <c r="AK103" i="33"/>
  <c r="AE102" i="33"/>
  <c r="AG103" i="33"/>
  <c r="AE109" i="33"/>
  <c r="AE106" i="33"/>
  <c r="AP106" i="33" s="1"/>
  <c r="AE105" i="33"/>
  <c r="AH108" i="33"/>
  <c r="AE125" i="33"/>
  <c r="AI125" i="33"/>
  <c r="AI124" i="33"/>
  <c r="AE104" i="33"/>
  <c r="AE121" i="33"/>
  <c r="AJ104" i="33"/>
  <c r="AE108" i="33"/>
  <c r="AE101" i="33"/>
  <c r="AI123" i="33"/>
  <c r="AE110" i="33"/>
  <c r="AF101" i="33"/>
  <c r="AF109" i="33"/>
  <c r="AH106" i="33"/>
  <c r="AD123" i="33"/>
  <c r="AD109" i="33"/>
  <c r="AE29" i="33" s="1"/>
  <c r="AJ103" i="33"/>
  <c r="AD105" i="33"/>
  <c r="AA29" i="33" s="1"/>
  <c r="AE118" i="33"/>
  <c r="AL124" i="33"/>
  <c r="AI103" i="33"/>
  <c r="AJ124" i="33"/>
  <c r="AH118" i="33"/>
  <c r="AH126" i="33"/>
  <c r="AL105" i="33"/>
  <c r="AA30" i="33" s="1"/>
  <c r="AJ116" i="33"/>
  <c r="AF104" i="33"/>
  <c r="AI102" i="33"/>
  <c r="AI110" i="33"/>
  <c r="AT110" i="33" s="1"/>
  <c r="AL106" i="33"/>
  <c r="AB30" i="33" s="1"/>
  <c r="AH110" i="33"/>
  <c r="AL116" i="33"/>
  <c r="AI121" i="33"/>
  <c r="AL104" i="33"/>
  <c r="Z30" i="33" s="1"/>
  <c r="AJ107" i="33"/>
  <c r="AK109" i="33"/>
  <c r="AE117" i="33"/>
  <c r="AK105" i="33"/>
  <c r="AH107" i="33"/>
  <c r="AG116" i="33"/>
  <c r="AH116" i="33"/>
  <c r="AH124" i="33"/>
  <c r="AJ122" i="33"/>
  <c r="AF103" i="33"/>
  <c r="AH121" i="33"/>
  <c r="AK116" i="33"/>
  <c r="AK124" i="33"/>
  <c r="AI101" i="33"/>
  <c r="AI109" i="33"/>
  <c r="AG125" i="33"/>
  <c r="AD116" i="33"/>
  <c r="AL102" i="33"/>
  <c r="X30" i="33" s="1"/>
  <c r="AH117" i="33"/>
  <c r="AH125" i="33"/>
  <c r="AI119" i="33"/>
  <c r="AD107" i="33"/>
  <c r="AC29" i="33" s="1"/>
  <c r="AE123" i="33"/>
  <c r="AK120" i="33"/>
  <c r="AV104" i="33" s="1"/>
  <c r="AF106" i="33"/>
  <c r="AH105" i="33"/>
  <c r="AD122" i="33"/>
  <c r="AH123" i="33"/>
  <c r="AG121" i="33"/>
  <c r="AJ121" i="33"/>
  <c r="AI117" i="33"/>
  <c r="AD117" i="33"/>
  <c r="AK122" i="33"/>
  <c r="AF100" i="33"/>
  <c r="AF108" i="33"/>
  <c r="AI105" i="33"/>
  <c r="AD121" i="33"/>
  <c r="AG110" i="33"/>
  <c r="AJ109" i="33"/>
  <c r="AH101" i="33"/>
  <c r="AJ119" i="33"/>
  <c r="AJ106" i="33"/>
  <c r="AD119" i="33"/>
  <c r="AK107" i="33"/>
  <c r="AD106" i="33"/>
  <c r="AB29" i="33" s="1"/>
  <c r="AG106" i="33"/>
  <c r="AL100" i="33"/>
  <c r="V30" i="33" s="1"/>
  <c r="AL118" i="33"/>
  <c r="AG105" i="33"/>
  <c r="AL108" i="33"/>
  <c r="AD30" i="33" s="1"/>
  <c r="AI107" i="33"/>
  <c r="AL123" i="33"/>
  <c r="AI106" i="33"/>
  <c r="AL121" i="33"/>
  <c r="AD118" i="33"/>
  <c r="AF116" i="33"/>
  <c r="AF124" i="33"/>
  <c r="AL101" i="33"/>
  <c r="W30" i="33" s="1"/>
  <c r="AK100" i="33"/>
  <c r="AG100" i="33"/>
  <c r="AK121" i="33"/>
  <c r="AF107" i="33"/>
  <c r="AG102" i="33"/>
  <c r="AK108" i="33"/>
  <c r="AE124" i="33"/>
  <c r="AE116" i="33"/>
  <c r="AH109" i="33"/>
  <c r="AD124" i="33"/>
  <c r="AG122" i="33"/>
  <c r="AI116" i="33"/>
  <c r="AJ102" i="33"/>
  <c r="AH102" i="33"/>
  <c r="AH122" i="33"/>
  <c r="AJ120" i="33"/>
  <c r="AF102" i="33"/>
  <c r="AF110" i="33"/>
  <c r="AL119" i="33"/>
  <c r="AL110" i="33"/>
  <c r="AF30" i="33" s="1"/>
  <c r="AH103" i="33"/>
  <c r="AK101" i="33"/>
  <c r="AG101" i="33"/>
  <c r="AD102" i="33"/>
  <c r="X29" i="33" s="1"/>
  <c r="AG119" i="33"/>
  <c r="AG123" i="33"/>
  <c r="AF120" i="33"/>
  <c r="AE119" i="33"/>
  <c r="AJ123" i="33"/>
  <c r="AL125" i="33"/>
  <c r="AL126" i="33"/>
  <c r="AG107" i="33"/>
  <c r="AL107" i="33"/>
  <c r="AD108" i="33"/>
  <c r="AD29" i="33" s="1"/>
  <c r="AJ108" i="33"/>
  <c r="AL122" i="33"/>
  <c r="AG117" i="33"/>
  <c r="AH119" i="33"/>
  <c r="AJ117" i="33"/>
  <c r="AJ125" i="33"/>
  <c r="AI118" i="33"/>
  <c r="AK117" i="33"/>
  <c r="AK125" i="33"/>
  <c r="AE126" i="33"/>
  <c r="AF117" i="33"/>
  <c r="AF125" i="33"/>
  <c r="AJ100" i="33"/>
  <c r="AD104" i="33"/>
  <c r="Z29" i="33" s="1"/>
  <c r="AL103" i="33"/>
  <c r="Y30" i="33" s="1"/>
  <c r="AG109" i="33"/>
  <c r="AI100" i="33"/>
  <c r="AI108" i="33"/>
  <c r="AL117" i="33"/>
  <c r="AG118" i="33"/>
  <c r="AE120" i="33"/>
  <c r="AH120" i="33"/>
  <c r="AI120" i="33"/>
  <c r="AJ118" i="33"/>
  <c r="AJ126" i="33"/>
  <c r="AI122" i="33"/>
  <c r="AK118" i="33"/>
  <c r="AK126" i="33"/>
  <c r="AF118" i="33"/>
  <c r="AF126" i="33"/>
  <c r="AJ105" i="33"/>
  <c r="AH100" i="33"/>
  <c r="AJ110" i="33"/>
  <c r="AD126" i="33"/>
  <c r="AK119" i="33"/>
  <c r="AF119" i="33"/>
  <c r="AF105" i="33"/>
  <c r="AL109" i="33"/>
  <c r="AK102" i="33"/>
  <c r="AH104" i="33"/>
  <c r="AD110" i="33"/>
  <c r="AF29" i="33" s="1"/>
  <c r="AJ101" i="33"/>
  <c r="AL120" i="33"/>
  <c r="AG120" i="33"/>
  <c r="AG126" i="33"/>
  <c r="AF121" i="33"/>
  <c r="AI104" i="33"/>
  <c r="AF122" i="33"/>
  <c r="AK110" i="33"/>
  <c r="AG104" i="33"/>
  <c r="AG108" i="33"/>
  <c r="AK106" i="33"/>
  <c r="AG124" i="33"/>
  <c r="AD125" i="33"/>
  <c r="AK123" i="33"/>
  <c r="AD120" i="33"/>
  <c r="AF123" i="33"/>
  <c r="I42" i="33"/>
  <c r="S58" i="33"/>
  <c r="I44" i="33" s="1"/>
  <c r="L42" i="33"/>
  <c r="V58" i="33"/>
  <c r="L44" i="33" s="1"/>
  <c r="Q42" i="33"/>
  <c r="AA58" i="33"/>
  <c r="Q44" i="33" s="1"/>
  <c r="AD101" i="33"/>
  <c r="W29" i="33" s="1"/>
  <c r="S42" i="33"/>
  <c r="AC58" i="33"/>
  <c r="S44" i="33" s="1"/>
  <c r="M42" i="33"/>
  <c r="W58" i="33"/>
  <c r="M44" i="33" s="1"/>
  <c r="N42" i="33"/>
  <c r="X58" i="33"/>
  <c r="N44" i="33" s="1"/>
  <c r="P42" i="33"/>
  <c r="Z58" i="33"/>
  <c r="P44" i="33" s="1"/>
  <c r="J42" i="33"/>
  <c r="T58" i="33"/>
  <c r="J44" i="33" s="1"/>
  <c r="R42" i="33"/>
  <c r="AB58" i="33"/>
  <c r="R44" i="33" s="1"/>
  <c r="AD100" i="33"/>
  <c r="V29" i="33" s="1"/>
  <c r="AD103" i="33"/>
  <c r="Y29" i="33" s="1"/>
  <c r="O42" i="33"/>
  <c r="Y58" i="33"/>
  <c r="O44" i="33" s="1"/>
  <c r="K42" i="33"/>
  <c r="U58" i="33"/>
  <c r="K44" i="33" s="1"/>
  <c r="R76" i="33"/>
  <c r="AA76" i="33"/>
  <c r="W76" i="33"/>
  <c r="V76" i="33"/>
  <c r="L30" i="33"/>
  <c r="AB76" i="33"/>
  <c r="Y76" i="33"/>
  <c r="T76" i="33"/>
  <c r="X76" i="33"/>
  <c r="U76" i="33"/>
  <c r="Z76" i="33"/>
  <c r="S76" i="33"/>
  <c r="K56" i="33"/>
  <c r="N29" i="33" s="1"/>
  <c r="K76" i="33"/>
  <c r="L56" i="33"/>
  <c r="O29" i="33" s="1"/>
  <c r="L76" i="33"/>
  <c r="O56" i="33"/>
  <c r="R29" i="33" s="1"/>
  <c r="O76" i="33"/>
  <c r="P56" i="33"/>
  <c r="S29" i="33" s="1"/>
  <c r="S31" i="33" s="1"/>
  <c r="S32" i="33" s="1"/>
  <c r="P76" i="33"/>
  <c r="I56" i="33"/>
  <c r="L29" i="33" s="1"/>
  <c r="L32" i="33" s="1"/>
  <c r="I76" i="33"/>
  <c r="F56" i="33"/>
  <c r="I29" i="33" s="1"/>
  <c r="F76" i="33"/>
  <c r="J56" i="33"/>
  <c r="M29" i="33" s="1"/>
  <c r="J76" i="33"/>
  <c r="N56" i="33"/>
  <c r="Q29" i="33" s="1"/>
  <c r="N76" i="33"/>
  <c r="M56" i="33"/>
  <c r="P29" i="33" s="1"/>
  <c r="M76" i="33"/>
  <c r="G56" i="33"/>
  <c r="J29" i="33" s="1"/>
  <c r="G76" i="33"/>
  <c r="H56" i="33"/>
  <c r="K29" i="33" s="1"/>
  <c r="H76" i="33"/>
  <c r="S70" i="23"/>
  <c r="R70" i="23"/>
  <c r="AC77" i="22"/>
  <c r="AA37" i="22" s="1"/>
  <c r="AA69" i="22"/>
  <c r="AC69" i="22"/>
  <c r="AB77" i="22"/>
  <c r="Z37" i="22" s="1"/>
  <c r="AB69" i="22"/>
  <c r="Z77" i="22"/>
  <c r="X37" i="22" s="1"/>
  <c r="AA77" i="22"/>
  <c r="Y37" i="22" s="1"/>
  <c r="Z69" i="22"/>
  <c r="AC76" i="22"/>
  <c r="AA36" i="22" s="1"/>
  <c r="AC68" i="22"/>
  <c r="AB76" i="22"/>
  <c r="Z36" i="22" s="1"/>
  <c r="AB68" i="22"/>
  <c r="Z30" i="22" s="1"/>
  <c r="AA76" i="22"/>
  <c r="Y36" i="22" s="1"/>
  <c r="AA68" i="22"/>
  <c r="Y30" i="22" s="1"/>
  <c r="Z76" i="22"/>
  <c r="X36" i="22" s="1"/>
  <c r="Z68" i="22"/>
  <c r="X30" i="22" s="1"/>
  <c r="P77" i="22"/>
  <c r="Q37" i="22" s="1"/>
  <c r="O77" i="22"/>
  <c r="P37" i="22" s="1"/>
  <c r="P76" i="22"/>
  <c r="Q36" i="22" s="1"/>
  <c r="O76" i="22"/>
  <c r="P36" i="22" s="1"/>
  <c r="P73" i="22"/>
  <c r="O73" i="22"/>
  <c r="P69" i="22"/>
  <c r="I92" i="22" s="1"/>
  <c r="O69" i="22"/>
  <c r="P31" i="22" s="1"/>
  <c r="H76" i="22"/>
  <c r="I36" i="22" s="1"/>
  <c r="P68" i="22"/>
  <c r="I91" i="22" s="1"/>
  <c r="O68" i="22"/>
  <c r="P30" i="22" s="1"/>
  <c r="P72" i="22"/>
  <c r="O72" i="22"/>
  <c r="H72" i="22"/>
  <c r="Q30" i="33"/>
  <c r="O30" i="33"/>
  <c r="J30" i="33"/>
  <c r="K30" i="33"/>
  <c r="P30" i="33"/>
  <c r="I30" i="33"/>
  <c r="N30" i="33"/>
  <c r="M30" i="33"/>
  <c r="R30" i="33"/>
  <c r="J32" i="33" l="1"/>
  <c r="AP107" i="33"/>
  <c r="O32" i="33"/>
  <c r="AP102" i="33"/>
  <c r="I32" i="33"/>
  <c r="AV103" i="33"/>
  <c r="P32" i="33"/>
  <c r="N32" i="33"/>
  <c r="Q32" i="33"/>
  <c r="K32" i="33"/>
  <c r="M32" i="33"/>
  <c r="R32" i="33"/>
  <c r="AP109" i="33"/>
  <c r="AP103" i="33"/>
  <c r="AP100" i="33"/>
  <c r="AR103" i="33"/>
  <c r="AE30" i="33"/>
  <c r="AE31" i="33" s="1"/>
  <c r="AC30" i="33"/>
  <c r="AC31" i="33" s="1"/>
  <c r="W31" i="33"/>
  <c r="AD31" i="33"/>
  <c r="X31" i="33"/>
  <c r="AB31" i="33"/>
  <c r="Z31" i="33"/>
  <c r="AF31" i="33"/>
  <c r="V31" i="33"/>
  <c r="AA31" i="33"/>
  <c r="Y31" i="33"/>
  <c r="AP105" i="33"/>
  <c r="AS108" i="33"/>
  <c r="AT109" i="33"/>
  <c r="AT108" i="33"/>
  <c r="AP104" i="33"/>
  <c r="AU104" i="33"/>
  <c r="AP108" i="33"/>
  <c r="AP101" i="33"/>
  <c r="AS106" i="33"/>
  <c r="AT107" i="33"/>
  <c r="AQ109" i="33"/>
  <c r="AQ101" i="33"/>
  <c r="AP110" i="33"/>
  <c r="AU103" i="33"/>
  <c r="AO105" i="33"/>
  <c r="AW108" i="33"/>
  <c r="AO109" i="33"/>
  <c r="AO107" i="33"/>
  <c r="AT103" i="33"/>
  <c r="AW105" i="33"/>
  <c r="AU108" i="33"/>
  <c r="AT102" i="33"/>
  <c r="AS110" i="33"/>
  <c r="AU100" i="33"/>
  <c r="AQ104" i="33"/>
  <c r="AS102" i="33"/>
  <c r="AW106" i="33"/>
  <c r="AW100" i="33"/>
  <c r="AV109" i="33"/>
  <c r="AT105" i="33"/>
  <c r="AW104" i="33"/>
  <c r="AU107" i="33"/>
  <c r="AV108" i="33"/>
  <c r="AS100" i="33"/>
  <c r="AS107" i="33"/>
  <c r="AR110" i="33"/>
  <c r="AV105" i="33"/>
  <c r="AR100" i="33"/>
  <c r="AT101" i="33"/>
  <c r="AU106" i="33"/>
  <c r="AS105" i="33"/>
  <c r="AQ103" i="33"/>
  <c r="AR102" i="33"/>
  <c r="AO100" i="33"/>
  <c r="AV106" i="33"/>
  <c r="AW102" i="33"/>
  <c r="AQ106" i="33"/>
  <c r="AU109" i="33"/>
  <c r="AO101" i="33"/>
  <c r="AR109" i="33"/>
  <c r="AO106" i="33"/>
  <c r="AS101" i="33"/>
  <c r="AQ100" i="33"/>
  <c r="AQ105" i="33"/>
  <c r="AS109" i="33"/>
  <c r="AV100" i="33"/>
  <c r="AU105" i="33"/>
  <c r="AV107" i="33"/>
  <c r="AW107" i="33"/>
  <c r="AR106" i="33"/>
  <c r="AR105" i="33"/>
  <c r="AQ107" i="33"/>
  <c r="AQ108" i="33"/>
  <c r="AV101" i="33"/>
  <c r="AO103" i="33"/>
  <c r="AS103" i="33"/>
  <c r="AU102" i="33"/>
  <c r="AT100" i="33"/>
  <c r="AW110" i="33"/>
  <c r="AR107" i="33"/>
  <c r="AO102" i="33"/>
  <c r="AS104" i="33"/>
  <c r="AO108" i="33"/>
  <c r="AT106" i="33"/>
  <c r="AW101" i="33"/>
  <c r="AR101" i="33"/>
  <c r="AW109" i="33"/>
  <c r="AV110" i="33"/>
  <c r="AU101" i="33"/>
  <c r="AT104" i="33"/>
  <c r="AR108" i="33"/>
  <c r="AQ110" i="33"/>
  <c r="AW103" i="33"/>
  <c r="AQ102" i="33"/>
  <c r="AO110" i="33"/>
  <c r="AV102" i="33"/>
  <c r="AO104" i="33"/>
  <c r="AU110" i="33"/>
  <c r="AR104" i="33"/>
  <c r="L31" i="33"/>
  <c r="X56" i="33"/>
  <c r="V56" i="33"/>
  <c r="U56" i="33"/>
  <c r="K31" i="33"/>
  <c r="R31" i="33"/>
  <c r="AB56" i="33"/>
  <c r="S56" i="33"/>
  <c r="N31" i="33"/>
  <c r="Z56" i="33"/>
  <c r="P31" i="33"/>
  <c r="AA56" i="33"/>
  <c r="I31" i="33"/>
  <c r="T56" i="33"/>
  <c r="J31" i="33"/>
  <c r="O31" i="33"/>
  <c r="Y56" i="33"/>
  <c r="W56" i="33"/>
  <c r="M31" i="33"/>
  <c r="Q31" i="33"/>
  <c r="AC56" i="33"/>
  <c r="AC60" i="33" s="1"/>
  <c r="S37" i="33" s="1"/>
  <c r="Z31" i="22"/>
  <c r="AB79" i="22"/>
  <c r="X31" i="22"/>
  <c r="Z79" i="22"/>
  <c r="AC79" i="22"/>
  <c r="Y31" i="22"/>
  <c r="AA79" i="22"/>
  <c r="AA31" i="22"/>
  <c r="V92" i="22"/>
  <c r="AA30" i="22"/>
  <c r="V91" i="22"/>
  <c r="Q30" i="22"/>
  <c r="Q31" i="22"/>
  <c r="Q41" i="22"/>
  <c r="AC73" i="22"/>
  <c r="P41" i="22"/>
  <c r="AB73" i="22"/>
  <c r="P40" i="22"/>
  <c r="AB72" i="22"/>
  <c r="Q40" i="22"/>
  <c r="AC72" i="22"/>
  <c r="Z85" i="33"/>
  <c r="W85" i="33"/>
  <c r="X85" i="33"/>
  <c r="AA85" i="33"/>
  <c r="U85" i="33"/>
  <c r="T85" i="33"/>
  <c r="R85" i="33"/>
  <c r="S85" i="33"/>
  <c r="V85" i="33"/>
  <c r="AB85" i="33"/>
  <c r="Y85" i="33"/>
  <c r="N103" i="22"/>
  <c r="S60" i="33" l="1"/>
  <c r="I37" i="33" s="1"/>
  <c r="AB60" i="33"/>
  <c r="R37" i="33" s="1"/>
  <c r="T60" i="33"/>
  <c r="J37" i="33" s="1"/>
  <c r="U60" i="33"/>
  <c r="K37" i="33" s="1"/>
  <c r="V60" i="33"/>
  <c r="L37" i="33" s="1"/>
  <c r="W60" i="33"/>
  <c r="M37" i="33" s="1"/>
  <c r="Z60" i="33"/>
  <c r="P37" i="33" s="1"/>
  <c r="X60" i="33"/>
  <c r="N37" i="33" s="1"/>
  <c r="AA60" i="33"/>
  <c r="Q37" i="33" s="1"/>
  <c r="Y60" i="33"/>
  <c r="O37" i="33" s="1"/>
  <c r="AC80" i="22"/>
  <c r="AC81" i="22" s="1"/>
  <c r="AC82" i="22" s="1"/>
  <c r="AA32" i="22" s="1"/>
  <c r="AB80" i="22"/>
  <c r="AB81" i="22" s="1"/>
  <c r="AB82" i="22" s="1"/>
  <c r="Z32" i="22" s="1"/>
  <c r="F48" i="23"/>
  <c r="F50" i="23"/>
  <c r="I30" i="23" s="1"/>
  <c r="H40" i="23" s="1"/>
  <c r="F49" i="23"/>
  <c r="B40" i="23"/>
  <c r="AB54" i="23" s="1"/>
  <c r="S33" i="23" s="1"/>
  <c r="B38" i="23"/>
  <c r="J63" i="22"/>
  <c r="J65" i="22"/>
  <c r="J64" i="22"/>
  <c r="H65" i="22"/>
  <c r="H64" i="22"/>
  <c r="H63" i="22"/>
  <c r="U52" i="23" l="1"/>
  <c r="AA57" i="23"/>
  <c r="F56" i="23"/>
  <c r="I40" i="23" s="1"/>
  <c r="X55" i="23"/>
  <c r="O37" i="23" s="1"/>
  <c r="AA54" i="23"/>
  <c r="R33" i="23" s="1"/>
  <c r="S54" i="23"/>
  <c r="J33" i="23" s="1"/>
  <c r="L56" i="23"/>
  <c r="O40" i="23" s="1"/>
  <c r="M55" i="23"/>
  <c r="P36" i="23" s="1"/>
  <c r="F55" i="23"/>
  <c r="I36" i="23" s="1"/>
  <c r="Y54" i="23"/>
  <c r="P33" i="23" s="1"/>
  <c r="J56" i="23"/>
  <c r="M40" i="23" s="1"/>
  <c r="X54" i="23"/>
  <c r="O33" i="23" s="1"/>
  <c r="I56" i="23"/>
  <c r="L40" i="23" s="1"/>
  <c r="N56" i="23"/>
  <c r="Q40" i="23" s="1"/>
  <c r="Y55" i="23"/>
  <c r="P37" i="23" s="1"/>
  <c r="W55" i="23"/>
  <c r="N37" i="23" s="1"/>
  <c r="Z54" i="23"/>
  <c r="Q33" i="23" s="1"/>
  <c r="R54" i="23"/>
  <c r="I33" i="23" s="1"/>
  <c r="K56" i="23"/>
  <c r="N40" i="23" s="1"/>
  <c r="L55" i="23"/>
  <c r="O36" i="23" s="1"/>
  <c r="V55" i="23"/>
  <c r="M37" i="23" s="1"/>
  <c r="K55" i="23"/>
  <c r="N36" i="23" s="1"/>
  <c r="U55" i="23"/>
  <c r="L37" i="23" s="1"/>
  <c r="J55" i="23"/>
  <c r="M36" i="23" s="1"/>
  <c r="G55" i="23"/>
  <c r="J36" i="23" s="1"/>
  <c r="N55" i="23"/>
  <c r="Q36" i="23" s="1"/>
  <c r="AB55" i="23"/>
  <c r="S37" i="23" s="1"/>
  <c r="T55" i="23"/>
  <c r="K37" i="23" s="1"/>
  <c r="W54" i="23"/>
  <c r="N33" i="23" s="1"/>
  <c r="P56" i="23"/>
  <c r="S40" i="23" s="1"/>
  <c r="H56" i="23"/>
  <c r="K40" i="23" s="1"/>
  <c r="I55" i="23"/>
  <c r="L36" i="23" s="1"/>
  <c r="AA55" i="23"/>
  <c r="R37" i="23" s="1"/>
  <c r="S55" i="23"/>
  <c r="J37" i="23" s="1"/>
  <c r="V54" i="23"/>
  <c r="M33" i="23" s="1"/>
  <c r="O56" i="23"/>
  <c r="R40" i="23" s="1"/>
  <c r="G56" i="23"/>
  <c r="J40" i="23" s="1"/>
  <c r="H55" i="23"/>
  <c r="K36" i="23" s="1"/>
  <c r="Z55" i="23"/>
  <c r="Q37" i="23" s="1"/>
  <c r="R55" i="23"/>
  <c r="I37" i="23" s="1"/>
  <c r="U54" i="23"/>
  <c r="L33" i="23" s="1"/>
  <c r="O55" i="23"/>
  <c r="R36" i="23" s="1"/>
  <c r="T54" i="23"/>
  <c r="K33" i="23" s="1"/>
  <c r="M56" i="23"/>
  <c r="P40" i="23" s="1"/>
  <c r="P55" i="23"/>
  <c r="S36" i="23" s="1"/>
  <c r="K68" i="23"/>
  <c r="J66" i="23"/>
  <c r="I68" i="23"/>
  <c r="H66" i="23"/>
  <c r="O67" i="23"/>
  <c r="N68" i="23"/>
  <c r="M69" i="23"/>
  <c r="P69" i="23"/>
  <c r="P67" i="23"/>
  <c r="P65" i="23"/>
  <c r="O68" i="23"/>
  <c r="O66" i="23"/>
  <c r="N69" i="23"/>
  <c r="N67" i="23"/>
  <c r="N65" i="23"/>
  <c r="M68" i="23"/>
  <c r="M66" i="23"/>
  <c r="L69" i="23"/>
  <c r="L67" i="23"/>
  <c r="L65" i="23"/>
  <c r="K67" i="23"/>
  <c r="J69" i="23"/>
  <c r="J65" i="23"/>
  <c r="I67" i="23"/>
  <c r="H69" i="23"/>
  <c r="H65" i="23"/>
  <c r="P66" i="23"/>
  <c r="O65" i="23"/>
  <c r="N66" i="23"/>
  <c r="M65" i="23"/>
  <c r="K66" i="23"/>
  <c r="J68" i="23"/>
  <c r="I66" i="23"/>
  <c r="H68" i="23"/>
  <c r="P68" i="23"/>
  <c r="O69" i="23"/>
  <c r="M67" i="23"/>
  <c r="L68" i="23"/>
  <c r="K69" i="23"/>
  <c r="J67" i="23"/>
  <c r="I65" i="23"/>
  <c r="H67" i="23"/>
  <c r="L66" i="23"/>
  <c r="K65" i="23"/>
  <c r="I69" i="23"/>
  <c r="N54" i="23"/>
  <c r="Q32" i="23" s="1"/>
  <c r="J54" i="23"/>
  <c r="M32" i="23" s="1"/>
  <c r="M54" i="23"/>
  <c r="P32" i="23" s="1"/>
  <c r="I54" i="23"/>
  <c r="L32" i="23" s="1"/>
  <c r="O54" i="23"/>
  <c r="R32" i="23" s="1"/>
  <c r="K54" i="23"/>
  <c r="N32" i="23" s="1"/>
  <c r="P54" i="23"/>
  <c r="S32" i="23" s="1"/>
  <c r="L54" i="23"/>
  <c r="O32" i="23" s="1"/>
  <c r="H54" i="23"/>
  <c r="K32" i="23" s="1"/>
  <c r="G69" i="23"/>
  <c r="F68" i="23"/>
  <c r="G65" i="23"/>
  <c r="F69" i="23"/>
  <c r="G66" i="23"/>
  <c r="F65" i="23"/>
  <c r="F67" i="23"/>
  <c r="G67" i="23"/>
  <c r="F66" i="23"/>
  <c r="G68" i="23"/>
  <c r="F54" i="23"/>
  <c r="I32" i="23" s="1"/>
  <c r="G54" i="23"/>
  <c r="J32" i="23" s="1"/>
  <c r="F52" i="23"/>
  <c r="J52" i="23"/>
  <c r="N76" i="22"/>
  <c r="O36" i="22" s="1"/>
  <c r="H30" i="22"/>
  <c r="H36" i="22" s="1"/>
  <c r="E54" i="23"/>
  <c r="U76" i="22"/>
  <c r="S36" i="22" s="1"/>
  <c r="V77" i="22"/>
  <c r="T37" i="22" s="1"/>
  <c r="N68" i="22"/>
  <c r="O30" i="22" s="1"/>
  <c r="X76" i="22"/>
  <c r="V36" i="22" s="1"/>
  <c r="N72" i="22"/>
  <c r="W68" i="22"/>
  <c r="U30" i="22" s="1"/>
  <c r="W77" i="22"/>
  <c r="U37" i="22" s="1"/>
  <c r="U77" i="22"/>
  <c r="S37" i="22" s="1"/>
  <c r="X77" i="22"/>
  <c r="V37" i="22" s="1"/>
  <c r="Y77" i="22"/>
  <c r="W37" i="22" s="1"/>
  <c r="I68" i="22"/>
  <c r="I72" i="22"/>
  <c r="J40" i="22" s="1"/>
  <c r="I76" i="22"/>
  <c r="J36" i="22" s="1"/>
  <c r="U68" i="22"/>
  <c r="U86" i="22" s="1"/>
  <c r="Y76" i="22"/>
  <c r="W36" i="22" s="1"/>
  <c r="J68" i="22"/>
  <c r="J72" i="22"/>
  <c r="K40" i="22" s="1"/>
  <c r="J76" i="22"/>
  <c r="K36" i="22" s="1"/>
  <c r="X68" i="22"/>
  <c r="V76" i="22"/>
  <c r="T36" i="22" s="1"/>
  <c r="M68" i="22"/>
  <c r="M72" i="22"/>
  <c r="M76" i="22"/>
  <c r="N36" i="22" s="1"/>
  <c r="Y68" i="22"/>
  <c r="W30" i="22" s="1"/>
  <c r="W76" i="22"/>
  <c r="U36" i="22" s="1"/>
  <c r="N73" i="22"/>
  <c r="U69" i="22"/>
  <c r="I69" i="22"/>
  <c r="M69" i="22"/>
  <c r="K73" i="22"/>
  <c r="L41" i="22" s="1"/>
  <c r="I77" i="22"/>
  <c r="J37" i="22" s="1"/>
  <c r="M77" i="22"/>
  <c r="N37" i="22" s="1"/>
  <c r="X69" i="22"/>
  <c r="W69" i="22"/>
  <c r="J69" i="22"/>
  <c r="N69" i="22"/>
  <c r="O31" i="22" s="1"/>
  <c r="L73" i="22"/>
  <c r="M41" i="22" s="1"/>
  <c r="J77" i="22"/>
  <c r="K37" i="22" s="1"/>
  <c r="N77" i="22"/>
  <c r="O37" i="22" s="1"/>
  <c r="Y69" i="22"/>
  <c r="L69" i="22"/>
  <c r="J73" i="22"/>
  <c r="K41" i="22" s="1"/>
  <c r="L77" i="22"/>
  <c r="M37" i="22" s="1"/>
  <c r="K69" i="22"/>
  <c r="I73" i="22"/>
  <c r="J41" i="22" s="1"/>
  <c r="M73" i="22"/>
  <c r="K77" i="22"/>
  <c r="L37" i="22" s="1"/>
  <c r="V69" i="22"/>
  <c r="K68" i="22"/>
  <c r="K72" i="22"/>
  <c r="L40" i="22" s="1"/>
  <c r="K76" i="22"/>
  <c r="L36" i="22" s="1"/>
  <c r="V68" i="22"/>
  <c r="T30" i="22" s="1"/>
  <c r="L68" i="22"/>
  <c r="L72" i="22"/>
  <c r="M40" i="22" s="1"/>
  <c r="L76" i="22"/>
  <c r="M36" i="22" s="1"/>
  <c r="H69" i="22"/>
  <c r="H87" i="22" s="1"/>
  <c r="H77" i="22"/>
  <c r="I37" i="22" s="1"/>
  <c r="I40" i="22"/>
  <c r="H73" i="22"/>
  <c r="I41" i="22" s="1"/>
  <c r="H68" i="22"/>
  <c r="H86" i="22" s="1"/>
  <c r="H31" i="22"/>
  <c r="H37" i="22" s="1"/>
  <c r="H70" i="23" l="1"/>
  <c r="N70" i="23"/>
  <c r="F70" i="23"/>
  <c r="L70" i="23"/>
  <c r="P70" i="23"/>
  <c r="G70" i="23"/>
  <c r="O70" i="23"/>
  <c r="J70" i="23"/>
  <c r="I70" i="23"/>
  <c r="M70" i="23"/>
  <c r="K70" i="23"/>
  <c r="X79" i="22"/>
  <c r="U31" i="22"/>
  <c r="W79" i="22"/>
  <c r="T31" i="22"/>
  <c r="V79" i="22"/>
  <c r="W31" i="22"/>
  <c r="Y79" i="22"/>
  <c r="S31" i="22"/>
  <c r="U79" i="22"/>
  <c r="I86" i="22"/>
  <c r="L86" i="22" s="1"/>
  <c r="H91" i="22"/>
  <c r="L91" i="22" s="1"/>
  <c r="V31" i="22"/>
  <c r="U92" i="22"/>
  <c r="I87" i="22"/>
  <c r="L87" i="22" s="1"/>
  <c r="H92" i="22"/>
  <c r="L92" i="22" s="1"/>
  <c r="V30" i="22"/>
  <c r="U91" i="22"/>
  <c r="O41" i="22"/>
  <c r="AA73" i="22"/>
  <c r="N41" i="22"/>
  <c r="Z73" i="22"/>
  <c r="N40" i="22"/>
  <c r="Z72" i="22"/>
  <c r="S30" i="22"/>
  <c r="O40" i="22"/>
  <c r="AA72" i="22"/>
  <c r="V87" i="22"/>
  <c r="V86" i="22"/>
  <c r="AA70" i="23"/>
  <c r="T79" i="23"/>
  <c r="Z79" i="23"/>
  <c r="Y79" i="23"/>
  <c r="R79" i="23"/>
  <c r="R88" i="23"/>
  <c r="F88" i="23"/>
  <c r="K88" i="23"/>
  <c r="AA79" i="23"/>
  <c r="U79" i="23"/>
  <c r="AB79" i="23"/>
  <c r="V88" i="23"/>
  <c r="J88" i="23"/>
  <c r="AA88" i="23"/>
  <c r="X88" i="23"/>
  <c r="L88" i="23"/>
  <c r="G88" i="23"/>
  <c r="X70" i="23"/>
  <c r="W79" i="23"/>
  <c r="X79" i="23"/>
  <c r="AB88" i="23"/>
  <c r="S88" i="23"/>
  <c r="Y88" i="23"/>
  <c r="T88" i="23"/>
  <c r="M88" i="23"/>
  <c r="H88" i="23"/>
  <c r="N88" i="23"/>
  <c r="P88" i="23"/>
  <c r="AB70" i="23"/>
  <c r="S79" i="23"/>
  <c r="W88" i="23"/>
  <c r="Z88" i="23"/>
  <c r="U88" i="23"/>
  <c r="I88" i="23"/>
  <c r="O88" i="23"/>
  <c r="Y70" i="23"/>
  <c r="V79" i="23"/>
  <c r="W70" i="23"/>
  <c r="U70" i="23"/>
  <c r="Z70" i="23"/>
  <c r="T70" i="23"/>
  <c r="V70" i="23"/>
  <c r="Y40" i="22"/>
  <c r="AA80" i="22" l="1"/>
  <c r="AA81" i="22" s="1"/>
  <c r="AA82" i="22" s="1"/>
  <c r="Y32" i="22" s="1"/>
  <c r="Z80" i="22"/>
  <c r="Z81" i="22" s="1"/>
  <c r="Z82" i="22" s="1"/>
  <c r="X32" i="22" s="1"/>
  <c r="J92" i="22"/>
  <c r="W92" i="22"/>
  <c r="Z49" i="22" s="1"/>
  <c r="W91" i="22"/>
  <c r="Z48" i="22" s="1"/>
  <c r="J91" i="22"/>
  <c r="K91" i="22" s="1"/>
  <c r="O48" i="22" s="1"/>
  <c r="G68" i="22"/>
  <c r="G69" i="22"/>
  <c r="U72" i="22"/>
  <c r="Y86" i="22" s="1"/>
  <c r="M91" i="22" l="1"/>
  <c r="N91" i="22" s="1"/>
  <c r="P48" i="22" s="1"/>
  <c r="X91" i="22"/>
  <c r="AA48" i="22" s="1"/>
  <c r="X92" i="22"/>
  <c r="AA49" i="22" s="1"/>
  <c r="M92" i="22"/>
  <c r="N92" i="22" s="1"/>
  <c r="P49" i="22" s="1"/>
  <c r="K92" i="22"/>
  <c r="O49" i="22" s="1"/>
  <c r="T69" i="22"/>
  <c r="G73" i="22"/>
  <c r="G77" i="22"/>
  <c r="T68" i="22"/>
  <c r="G76" i="22"/>
  <c r="G72" i="22"/>
  <c r="S40" i="22"/>
  <c r="H41" i="22"/>
  <c r="H40" i="22"/>
  <c r="T77" i="22" l="1"/>
  <c r="T73" i="22"/>
  <c r="T76" i="22"/>
  <c r="T72" i="22"/>
  <c r="P52" i="23"/>
  <c r="M103" i="22"/>
  <c r="L103" i="22"/>
  <c r="K103" i="22"/>
  <c r="J103" i="22"/>
  <c r="I103" i="22"/>
  <c r="H103" i="22"/>
  <c r="H49" i="22"/>
  <c r="H48" i="22"/>
  <c r="T87" i="22"/>
  <c r="T92" i="22" s="1"/>
  <c r="T86" i="22"/>
  <c r="T91" i="22" s="1"/>
  <c r="G87" i="22"/>
  <c r="G92" i="22" s="1"/>
  <c r="G86" i="22"/>
  <c r="G91" i="22" s="1"/>
  <c r="T49" i="22"/>
  <c r="H66" i="22" l="1"/>
  <c r="T66" i="22"/>
  <c r="M31" i="22"/>
  <c r="L31" i="22"/>
  <c r="J31" i="22"/>
  <c r="K31" i="22"/>
  <c r="X72" i="22" l="1"/>
  <c r="Y91" i="22" s="1"/>
  <c r="Z91" i="22" s="1"/>
  <c r="AA91" i="22" s="1"/>
  <c r="AB48" i="22" s="1"/>
  <c r="Y73" i="22"/>
  <c r="U73" i="22"/>
  <c r="U80" i="22" s="1"/>
  <c r="U81" i="22" s="1"/>
  <c r="U82" i="22" s="1"/>
  <c r="S32" i="22" s="1"/>
  <c r="V73" i="22"/>
  <c r="Y72" i="22"/>
  <c r="X73" i="22"/>
  <c r="W73" i="22"/>
  <c r="W72" i="22"/>
  <c r="K30" i="22"/>
  <c r="J30" i="22"/>
  <c r="M30" i="22"/>
  <c r="L30" i="22"/>
  <c r="N31" i="22"/>
  <c r="U87" i="22"/>
  <c r="N30" i="22"/>
  <c r="I31" i="22"/>
  <c r="V72" i="22"/>
  <c r="I30" i="22"/>
  <c r="V80" i="22" l="1"/>
  <c r="V81" i="22" s="1"/>
  <c r="V82" i="22" s="1"/>
  <c r="T32" i="22" s="1"/>
  <c r="W80" i="22"/>
  <c r="W81" i="22" s="1"/>
  <c r="W82" i="22" s="1"/>
  <c r="U32" i="22" s="1"/>
  <c r="Y80" i="22"/>
  <c r="Y81" i="22" s="1"/>
  <c r="Y82" i="22" s="1"/>
  <c r="W32" i="22" s="1"/>
  <c r="Y92" i="22"/>
  <c r="Z92" i="22" s="1"/>
  <c r="AA92" i="22" s="1"/>
  <c r="AB49" i="22" s="1"/>
  <c r="X80" i="22"/>
  <c r="X81" i="22" s="1"/>
  <c r="X82" i="22" s="1"/>
  <c r="V32" i="22" s="1"/>
  <c r="Y87" i="22"/>
  <c r="X40" i="22"/>
  <c r="V40" i="22"/>
  <c r="U40" i="22"/>
  <c r="T40" i="22"/>
  <c r="W40" i="22"/>
  <c r="U41" i="22"/>
  <c r="V41" i="22"/>
  <c r="X41" i="22"/>
  <c r="W41" i="22"/>
  <c r="T41" i="22"/>
  <c r="S41" i="22"/>
  <c r="W87" i="22"/>
  <c r="U49" i="22" s="1"/>
  <c r="J86" i="22"/>
  <c r="M86" i="22" s="1"/>
  <c r="W86" i="22"/>
  <c r="U48" i="22" s="1"/>
  <c r="J87" i="22"/>
  <c r="K87" i="22" s="1"/>
  <c r="K86" i="22" l="1"/>
  <c r="K48" i="22" s="1"/>
  <c r="N86" i="22"/>
  <c r="L48" i="22" s="1"/>
  <c r="AB87" i="22"/>
  <c r="AC87" i="22" s="1"/>
  <c r="W49" i="22" s="1"/>
  <c r="X87" i="22"/>
  <c r="V49" i="22" s="1"/>
  <c r="M87" i="22"/>
  <c r="N87" i="22" s="1"/>
  <c r="L49" i="22" s="1"/>
  <c r="AB86" i="22"/>
  <c r="AC86" i="22" s="1"/>
  <c r="W48" i="22" s="1"/>
  <c r="X86" i="22"/>
  <c r="V48" i="22" s="1"/>
  <c r="K49" i="22"/>
</calcChain>
</file>

<file path=xl/sharedStrings.xml><?xml version="1.0" encoding="utf-8"?>
<sst xmlns="http://schemas.openxmlformats.org/spreadsheetml/2006/main" count="8298" uniqueCount="199">
  <si>
    <t>12 to 19</t>
  </si>
  <si>
    <t>20 to 29</t>
  </si>
  <si>
    <t>30 to 44</t>
  </si>
  <si>
    <t>45 to 64</t>
  </si>
  <si>
    <t>Men</t>
  </si>
  <si>
    <t>Women</t>
  </si>
  <si>
    <t>Never Smoked</t>
  </si>
  <si>
    <t>All people</t>
  </si>
  <si>
    <t>Row Labels</t>
  </si>
  <si>
    <t>Current Smoker</t>
  </si>
  <si>
    <t>Former smoker</t>
  </si>
  <si>
    <t>Number of people</t>
  </si>
  <si>
    <t>behaviour</t>
  </si>
  <si>
    <t>Calculations</t>
  </si>
  <si>
    <t>95% CI</t>
  </si>
  <si>
    <t>number of people</t>
  </si>
  <si>
    <t>Coefficient of variation</t>
  </si>
  <si>
    <t>95% Confidence interval (number)</t>
  </si>
  <si>
    <t>Percentage of population with smoking status</t>
  </si>
  <si>
    <t>95% Confidence Interval (percentage). Using CoV for population, which overstates confidence interval</t>
  </si>
  <si>
    <t>DATA</t>
  </si>
  <si>
    <t>Behaviour:</t>
  </si>
  <si>
    <t>95% interval</t>
  </si>
  <si>
    <t>Note: Coefficient of variation used in this table for prevalence ws the same as for number of people</t>
  </si>
  <si>
    <t xml:space="preserve">, </t>
  </si>
  <si>
    <t>Colour code</t>
  </si>
  <si>
    <t>Interpret with caution</t>
  </si>
  <si>
    <t>Unreliable</t>
  </si>
  <si>
    <t>Prevalence (%)</t>
  </si>
  <si>
    <t>∆ Number</t>
  </si>
  <si>
    <t>Percentage difference</t>
  </si>
  <si>
    <t>SE of difference</t>
  </si>
  <si>
    <t>Z-test score*</t>
  </si>
  <si>
    <t>Significant</t>
  </si>
  <si>
    <t>Note:</t>
  </si>
  <si>
    <t>Number not included in count:</t>
  </si>
  <si>
    <t>Type of smoker</t>
  </si>
  <si>
    <t>taken from Data dictionary</t>
  </si>
  <si>
    <t>Missing</t>
  </si>
  <si>
    <t>Quit Ratio</t>
  </si>
  <si>
    <t>Current smoker</t>
  </si>
  <si>
    <t>Former Smoker</t>
  </si>
  <si>
    <t>Number of people by smoking status; Prevalence by smoking status</t>
  </si>
  <si>
    <t>Quality flag</t>
  </si>
  <si>
    <t>Range 1</t>
  </si>
  <si>
    <t>65 and over</t>
  </si>
  <si>
    <t>All ages</t>
  </si>
  <si>
    <t>Comparison Group 1</t>
  </si>
  <si>
    <t>Percentage of Pop.</t>
  </si>
  <si>
    <t>Share of current smoking burden</t>
  </si>
  <si>
    <t>Share of daily smoking burden</t>
  </si>
  <si>
    <t>Number of current smokers</t>
  </si>
  <si>
    <t>Total</t>
  </si>
  <si>
    <t>PEI</t>
  </si>
  <si>
    <t>Current</t>
  </si>
  <si>
    <t>Former</t>
  </si>
  <si>
    <t>65 years and over</t>
  </si>
  <si>
    <t>f</t>
  </si>
  <si>
    <t>Newfoundland</t>
  </si>
  <si>
    <t>CofV</t>
  </si>
  <si>
    <t>NFLD</t>
  </si>
  <si>
    <t>NS</t>
  </si>
  <si>
    <t>NB</t>
  </si>
  <si>
    <t>QUE</t>
  </si>
  <si>
    <t>ONT</t>
  </si>
  <si>
    <t>MAN</t>
  </si>
  <si>
    <t>SASK</t>
  </si>
  <si>
    <t>BC</t>
  </si>
  <si>
    <t>Prince Edward Island</t>
  </si>
  <si>
    <t>Nova Scotia</t>
  </si>
  <si>
    <t>New Brunswick</t>
  </si>
  <si>
    <t>Quebec</t>
  </si>
  <si>
    <t>Ontario</t>
  </si>
  <si>
    <t>Manitoba</t>
  </si>
  <si>
    <t>Saskatchewan</t>
  </si>
  <si>
    <t>Alberta</t>
  </si>
  <si>
    <t>British Columbia</t>
  </si>
  <si>
    <t>population</t>
  </si>
  <si>
    <t>province</t>
  </si>
  <si>
    <t>Never smoker</t>
  </si>
  <si>
    <t>cycle</t>
  </si>
  <si>
    <t>NL</t>
  </si>
  <si>
    <t>QC</t>
  </si>
  <si>
    <t>ON</t>
  </si>
  <si>
    <t>Man</t>
  </si>
  <si>
    <t>SK</t>
  </si>
  <si>
    <t>AB</t>
  </si>
  <si>
    <t>Smoking behaviour</t>
  </si>
  <si>
    <t xml:space="preserve">verification </t>
  </si>
  <si>
    <t>Number of People</t>
  </si>
  <si>
    <t>Prevalence</t>
  </si>
  <si>
    <t xml:space="preserve">Smoking behaviour: </t>
  </si>
  <si>
    <t>all behaviour</t>
  </si>
  <si>
    <t>95% Confidence</t>
  </si>
  <si>
    <t>95% confidence</t>
  </si>
  <si>
    <t>C of V</t>
  </si>
  <si>
    <t>Cycle</t>
  </si>
  <si>
    <t>95% Confidence interval</t>
  </si>
  <si>
    <t>MB</t>
  </si>
  <si>
    <t>From CCHS Derived variable:  SMKDSTY, SMKADSTY, SMKCDST, SMKEDSTY</t>
  </si>
  <si>
    <t>Former Smokers</t>
  </si>
  <si>
    <t xml:space="preserve">C of V </t>
  </si>
  <si>
    <t>Quality Flag</t>
  </si>
  <si>
    <t>12 to 19 year old</t>
  </si>
  <si>
    <t>20 to 29 year olds</t>
  </si>
  <si>
    <t>30 to 44 year olds</t>
  </si>
  <si>
    <t>45 to 64 year olds</t>
  </si>
  <si>
    <t>All ages, both sexes</t>
  </si>
  <si>
    <t>Men, all ages</t>
  </si>
  <si>
    <t>Women, all ages</t>
  </si>
  <si>
    <t>All Canada</t>
  </si>
  <si>
    <t>∆ %</t>
  </si>
  <si>
    <t>% Diff</t>
  </si>
  <si>
    <t>95% significant:</t>
  </si>
  <si>
    <t>Difference Cycle 1 to Cycle 7</t>
  </si>
  <si>
    <t>Title</t>
  </si>
  <si>
    <t>Daily Smoker</t>
  </si>
  <si>
    <t>47+</t>
  </si>
  <si>
    <t>behaviourvalue</t>
  </si>
  <si>
    <t>Current Smokers</t>
  </si>
  <si>
    <t>Insights from The Canadian Community Health Survey</t>
  </si>
  <si>
    <t>Physicians for a Smoke-Free Canada</t>
  </si>
  <si>
    <t>2000-2001</t>
  </si>
  <si>
    <t>2007-2008</t>
  </si>
  <si>
    <t>2009-2010</t>
  </si>
  <si>
    <t>2011-2012</t>
  </si>
  <si>
    <t>2013-2014</t>
  </si>
  <si>
    <t>2015-2016</t>
  </si>
  <si>
    <t>2017-2018</t>
  </si>
  <si>
    <t>F</t>
  </si>
  <si>
    <t>Experimenter</t>
  </si>
  <si>
    <t>Never (Abstainer)</t>
  </si>
  <si>
    <t>All provinces</t>
  </si>
  <si>
    <t>to do</t>
  </si>
  <si>
    <t>adjust COV for 2003 to 2013-2014</t>
  </si>
  <si>
    <t>Never Smoker</t>
  </si>
  <si>
    <t xml:space="preserve">Title: </t>
  </si>
  <si>
    <t>2017-18</t>
  </si>
  <si>
    <t>Difference 2000 to 2007-2008</t>
  </si>
  <si>
    <t>Change between 2000 and 2007-2008</t>
  </si>
  <si>
    <t>Difference 2007-2008 to 2017-2018</t>
  </si>
  <si>
    <t>Change between 2007-2008 and 2017-2018</t>
  </si>
  <si>
    <t>add definitions of experimenter, abstainer)</t>
  </si>
  <si>
    <t>Difference</t>
  </si>
  <si>
    <t>Z test score</t>
  </si>
  <si>
    <t>significant?</t>
  </si>
  <si>
    <t>Definitions:</t>
  </si>
  <si>
    <t xml:space="preserve">Current smoker: </t>
  </si>
  <si>
    <t>smokes on a daily or occasional basis</t>
  </si>
  <si>
    <t xml:space="preserve">Experimenter: </t>
  </si>
  <si>
    <t>has smoked between 1 and 100 cigarettes in lifetime, but no longer smokes</t>
  </si>
  <si>
    <t xml:space="preserve">Never smoker: </t>
  </si>
  <si>
    <t>has not smoked 1 cigarette</t>
  </si>
  <si>
    <t xml:space="preserve">Former smoker: </t>
  </si>
  <si>
    <t>has smoked more than 100 cigarettes in lifetime, but no longer smokes</t>
  </si>
  <si>
    <t>Significant difference</t>
  </si>
  <si>
    <t xml:space="preserve">Quality flag </t>
  </si>
  <si>
    <t>Experimental Smoker</t>
  </si>
  <si>
    <t>Canada</t>
  </si>
  <si>
    <t>Quit Ratio (former / current smokers)</t>
  </si>
  <si>
    <t>Age</t>
  </si>
  <si>
    <t>COV</t>
  </si>
  <si>
    <t>11,1</t>
  </si>
  <si>
    <t>2,2</t>
  </si>
  <si>
    <t>1,6</t>
  </si>
  <si>
    <t>2007- 2008</t>
  </si>
  <si>
    <t>2009- 2010</t>
  </si>
  <si>
    <t>2011- 2012</t>
  </si>
  <si>
    <t>Quit Ratio by Age and Province</t>
  </si>
  <si>
    <t>Comparison Chart: Smoking Status in Canada's Provinces</t>
  </si>
  <si>
    <t>Smoking Status by province and age or sex</t>
  </si>
  <si>
    <t>Comparison Group 2</t>
  </si>
  <si>
    <t>ratio of former smokers to current smokers</t>
  </si>
  <si>
    <t>Change 2000 to 2018</t>
  </si>
  <si>
    <t>% Change</t>
  </si>
  <si>
    <t>"Fail" results when cell sizes are too small.</t>
  </si>
  <si>
    <t>E</t>
  </si>
  <si>
    <t xml:space="preserve">Unreliable - do not use </t>
  </si>
  <si>
    <t>Tobacco Use 2000-2018:</t>
  </si>
  <si>
    <t>The variables used are identified on each table. Variability is estabilshed using the look-up tables provided in the documentation. This is a less precise method than others available and subject to transcription error. For this reason, conclusions about statistical significance should be taken as 'prima facie' indications and verified using additional methods.</t>
  </si>
  <si>
    <t>The data presented here is taken from the Public Use Microfiles (PUMF) of the Canadian Community Health Survey and the method used are those recommended in the documentation which accompanies the PUMF data.</t>
  </si>
  <si>
    <t>Questions about this table should be directed to Cynthia Callard (ccallard@smoke-free.ca)</t>
  </si>
  <si>
    <t>Table 1</t>
  </si>
  <si>
    <t>Table 2</t>
  </si>
  <si>
    <t>Table 3</t>
  </si>
  <si>
    <t xml:space="preserve">Quit ratio for men and women and 5 age groups in all provinces. </t>
  </si>
  <si>
    <t>Interactive graph providing comparison among all provinces for a choice of smoking behaviours for men, women and 5 age groups</t>
  </si>
  <si>
    <t>Interactive graph showing all smoking behaviours for a choice of population (men, women or 5 age groups)</t>
  </si>
  <si>
    <t>Interactive graphs providing options to compare 2 smoking behaviour characteristics for men, women and 5 age groups of both sexes in all provinces</t>
  </si>
  <si>
    <t>This worksheet provides information on 4 smoking behaviours for men, women and 5 age groups. Information on 8 smoking behaviours for men and women is available on a different worksheet</t>
  </si>
  <si>
    <t>Continuing smokers as % of ever smokers</t>
  </si>
  <si>
    <t>Table 4</t>
  </si>
  <si>
    <t>Progress for each behaviour across provinces</t>
  </si>
  <si>
    <t xml:space="preserve">Progress </t>
  </si>
  <si>
    <t>Percent of population</t>
  </si>
  <si>
    <t>Prevalence by smoking behaviour</t>
  </si>
  <si>
    <t>From CCHS Derived variable: SMKDSTY and equivalents; Geography, Age and Sex</t>
  </si>
  <si>
    <t>Funding for this report was provided by Health Canada’s Substance Use and Addictions Program (SUAP)</t>
  </si>
  <si>
    <t>The views expressed herein do not necessarily represent the views of Health Canada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</si>
</sst>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
    <numFmt numFmtId="166" formatCode="0.0"/>
    <numFmt numFmtId="167" formatCode="#,##0_ ;\-#,##0\ "/>
    <numFmt numFmtId="168" formatCode="#,##0.0_ ;\-#,##0.0\ "/>
    <numFmt numFmtId="169" formatCode="0.000"/>
  </numFmts>
  <fonts count="39" x14ac:knownFonts="1">
    <font>
      <sz val="11"/>
      <color theme="1"/>
      <name val="Calibri"/>
      <family val="2"/>
      <scheme val="minor"/>
    </font>
    <font>
      <sz val="11"/>
      <color theme="0"/>
      <name val="Calibri"/>
      <family val="2"/>
      <scheme val="minor"/>
    </font>
    <font>
      <sz val="10"/>
      <name val="Arial"/>
      <family val="2"/>
    </font>
    <font>
      <sz val="11"/>
      <color theme="1"/>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sz val="8"/>
      <color indexed="8"/>
      <name val="Calibri"/>
      <family val="2"/>
      <scheme val="minor"/>
    </font>
    <font>
      <b/>
      <sz val="11"/>
      <color theme="1"/>
      <name val="Calibri"/>
      <family val="2"/>
      <scheme val="minor"/>
    </font>
    <font>
      <sz val="8"/>
      <color theme="0"/>
      <name val="Calibri"/>
      <family val="2"/>
      <scheme val="minor"/>
    </font>
    <font>
      <b/>
      <sz val="9"/>
      <color theme="1"/>
      <name val="Calibri"/>
      <family val="2"/>
      <scheme val="minor"/>
    </font>
    <font>
      <sz val="9"/>
      <color theme="1"/>
      <name val="Calibri"/>
      <family val="2"/>
      <scheme val="minor"/>
    </font>
    <font>
      <b/>
      <sz val="9"/>
      <color theme="0"/>
      <name val="Calibri"/>
      <family val="2"/>
      <scheme val="minor"/>
    </font>
    <font>
      <b/>
      <sz val="20"/>
      <color theme="0"/>
      <name val="Calibri"/>
      <family val="2"/>
      <scheme val="minor"/>
    </font>
    <font>
      <sz val="9"/>
      <color theme="1"/>
      <name val="Calibri"/>
      <family val="2"/>
    </font>
    <font>
      <b/>
      <sz val="12"/>
      <color theme="1"/>
      <name val="Calibri"/>
      <family val="2"/>
      <scheme val="minor"/>
    </font>
    <font>
      <b/>
      <sz val="10"/>
      <color theme="4"/>
      <name val="Calibri"/>
      <family val="2"/>
      <scheme val="minor"/>
    </font>
    <font>
      <b/>
      <sz val="11"/>
      <color theme="4"/>
      <name val="Calibri"/>
      <family val="2"/>
      <scheme val="minor"/>
    </font>
    <font>
      <sz val="9"/>
      <color indexed="8"/>
      <name val="Calibri"/>
      <family val="2"/>
      <scheme val="minor"/>
    </font>
    <font>
      <sz val="9"/>
      <color theme="0"/>
      <name val="Calibri"/>
      <family val="2"/>
      <scheme val="minor"/>
    </font>
    <font>
      <sz val="24"/>
      <color theme="1"/>
      <name val="Calibri"/>
      <family val="2"/>
      <scheme val="minor"/>
    </font>
    <font>
      <sz val="12"/>
      <color theme="1"/>
      <name val="Calibri"/>
      <family val="2"/>
      <scheme val="minor"/>
    </font>
    <font>
      <b/>
      <sz val="9"/>
      <color theme="0" tint="-0.14999847407452621"/>
      <name val="Calibri"/>
      <family val="2"/>
      <scheme val="minor"/>
    </font>
    <font>
      <sz val="9"/>
      <color theme="0" tint="-0.14999847407452621"/>
      <name val="Calibri"/>
      <family val="2"/>
      <scheme val="minor"/>
    </font>
    <font>
      <sz val="11"/>
      <color theme="1"/>
      <name val="Calibri"/>
      <family val="2"/>
    </font>
    <font>
      <b/>
      <sz val="22"/>
      <color rgb="FF000000"/>
      <name val="Calibri"/>
      <family val="2"/>
    </font>
    <font>
      <b/>
      <sz val="16"/>
      <color rgb="FF000000"/>
      <name val="Calibri"/>
      <family val="2"/>
    </font>
    <font>
      <b/>
      <sz val="9"/>
      <color indexed="8"/>
      <name val="Calibri"/>
      <family val="2"/>
      <scheme val="minor"/>
    </font>
    <font>
      <b/>
      <sz val="24"/>
      <color theme="1"/>
      <name val="Calibri"/>
      <family val="2"/>
      <scheme val="minor"/>
    </font>
    <font>
      <b/>
      <sz val="8"/>
      <color indexed="8"/>
      <name val="Calibri"/>
      <family val="2"/>
      <scheme val="minor"/>
    </font>
    <font>
      <b/>
      <sz val="9"/>
      <color theme="4"/>
      <name val="Calibri"/>
      <family val="2"/>
      <scheme val="minor"/>
    </font>
    <font>
      <sz val="9"/>
      <color theme="4"/>
      <name val="Calibri"/>
      <family val="2"/>
      <scheme val="minor"/>
    </font>
    <font>
      <b/>
      <sz val="9"/>
      <color theme="1" tint="0.499984740745262"/>
      <name val="Calibri"/>
      <family val="2"/>
      <scheme val="minor"/>
    </font>
    <font>
      <sz val="9"/>
      <color theme="1" tint="0.499984740745262"/>
      <name val="Calibri"/>
      <family val="2"/>
      <scheme val="minor"/>
    </font>
    <font>
      <b/>
      <sz val="9"/>
      <color theme="4" tint="-0.249977111117893"/>
      <name val="Calibri"/>
      <family val="2"/>
      <scheme val="minor"/>
    </font>
    <font>
      <b/>
      <sz val="9"/>
      <color rgb="FF000000"/>
      <name val="Calibri"/>
      <family val="2"/>
      <scheme val="minor"/>
    </font>
    <font>
      <sz val="8"/>
      <name val="Calibri"/>
      <family val="2"/>
      <scheme val="minor"/>
    </font>
    <font>
      <b/>
      <sz val="11"/>
      <color theme="1"/>
      <name val="Calibri"/>
      <family val="2"/>
    </font>
    <font>
      <sz val="8"/>
      <color rgb="FF4F81BD"/>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4" tint="-0.499984740745262"/>
        <bgColor indexed="64"/>
      </patternFill>
    </fill>
    <fill>
      <patternFill patternType="solid">
        <fgColor theme="4" tint="0.79998168889431442"/>
        <bgColor theme="4" tint="0.79998168889431442"/>
      </patternFill>
    </fill>
    <fill>
      <patternFill patternType="solid">
        <fgColor theme="3"/>
        <bgColor theme="4" tint="0.79998168889431442"/>
      </patternFill>
    </fill>
    <fill>
      <patternFill patternType="solid">
        <fgColor theme="3"/>
        <bgColor indexed="64"/>
      </patternFill>
    </fill>
    <fill>
      <patternFill patternType="solid">
        <fgColor theme="5" tint="0.79998168889431442"/>
        <bgColor indexed="64"/>
      </patternFill>
    </fill>
    <fill>
      <patternFill patternType="solid">
        <fgColor rgb="FFFFFF00"/>
        <bgColor rgb="FF000000"/>
      </patternFill>
    </fill>
    <fill>
      <patternFill patternType="solid">
        <fgColor theme="5"/>
        <bgColor theme="4" tint="0.79998168889431442"/>
      </patternFill>
    </fill>
    <fill>
      <patternFill patternType="solid">
        <fgColor theme="6" tint="0.79998168889431442"/>
        <bgColor indexed="64"/>
      </patternFill>
    </fill>
    <fill>
      <patternFill patternType="solid">
        <fgColor theme="6" tint="0.59999389629810485"/>
        <bgColor indexed="64"/>
      </patternFill>
    </fill>
  </fills>
  <borders count="21">
    <border>
      <left/>
      <right/>
      <top/>
      <bottom/>
      <diagonal/>
    </border>
    <border>
      <left/>
      <right/>
      <top/>
      <bottom style="thin">
        <color theme="4" tint="0.39997558519241921"/>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theme="0"/>
      </left>
      <right style="thin">
        <color theme="0"/>
      </right>
      <top style="thin">
        <color theme="0"/>
      </top>
      <bottom style="thin">
        <color theme="0"/>
      </bottom>
      <diagonal/>
    </border>
    <border>
      <left/>
      <right style="thin">
        <color indexed="64"/>
      </right>
      <top style="medium">
        <color indexed="64"/>
      </top>
      <bottom/>
      <diagonal/>
    </border>
    <border>
      <left/>
      <right style="thin">
        <color indexed="64"/>
      </right>
      <top/>
      <bottom style="medium">
        <color indexed="64"/>
      </bottom>
      <diagonal/>
    </border>
  </borders>
  <cellStyleXfs count="4">
    <xf numFmtId="0" fontId="0" fillId="0" borderId="0"/>
    <xf numFmtId="0" fontId="2" fillId="0" borderId="0"/>
    <xf numFmtId="9" fontId="3" fillId="0" borderId="0" applyFont="0" applyFill="0" applyBorder="0" applyAlignment="0" applyProtection="0"/>
    <xf numFmtId="43" fontId="3" fillId="0" borderId="0" applyFont="0" applyFill="0" applyBorder="0" applyAlignment="0" applyProtection="0"/>
  </cellStyleXfs>
  <cellXfs count="297">
    <xf numFmtId="0" fontId="0" fillId="0" borderId="0" xfId="0"/>
    <xf numFmtId="0" fontId="5" fillId="0" borderId="0" xfId="0" applyFont="1" applyAlignment="1">
      <alignment horizontal="center"/>
    </xf>
    <xf numFmtId="3" fontId="7" fillId="0" borderId="0" xfId="1" applyNumberFormat="1" applyFont="1" applyBorder="1" applyAlignment="1">
      <alignment horizontal="right" vertical="top"/>
    </xf>
    <xf numFmtId="9" fontId="7" fillId="0" borderId="0" xfId="2" applyFont="1" applyBorder="1" applyAlignment="1">
      <alignment horizontal="right" vertical="top"/>
    </xf>
    <xf numFmtId="0" fontId="5" fillId="4" borderId="0" xfId="0" applyFont="1" applyFill="1" applyAlignment="1">
      <alignment horizontal="center"/>
    </xf>
    <xf numFmtId="0" fontId="0" fillId="0" borderId="0" xfId="0" applyAlignme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right" vertical="center"/>
    </xf>
    <xf numFmtId="3" fontId="7" fillId="0" borderId="0" xfId="1" applyNumberFormat="1" applyFont="1" applyBorder="1" applyAlignment="1">
      <alignment horizontal="center" vertical="center"/>
    </xf>
    <xf numFmtId="0" fontId="6" fillId="0" borderId="1" xfId="0" applyFont="1" applyBorder="1" applyAlignment="1">
      <alignment horizontal="right" vertical="center"/>
    </xf>
    <xf numFmtId="0" fontId="11" fillId="0" borderId="0" xfId="0" applyFont="1" applyAlignment="1">
      <alignment horizontal="center" vertical="center"/>
    </xf>
    <xf numFmtId="0" fontId="5" fillId="0" borderId="0" xfId="0" applyFont="1" applyBorder="1" applyAlignment="1">
      <alignment horizontal="right" vertical="center"/>
    </xf>
    <xf numFmtId="0" fontId="0" fillId="3" borderId="4" xfId="0" applyFill="1" applyBorder="1" applyAlignment="1">
      <alignment vertical="center"/>
    </xf>
    <xf numFmtId="0" fontId="0" fillId="3" borderId="5" xfId="0" applyFill="1" applyBorder="1" applyAlignment="1">
      <alignment vertical="center"/>
    </xf>
    <xf numFmtId="0" fontId="0" fillId="3" borderId="0" xfId="0" applyFill="1" applyBorder="1" applyAlignment="1">
      <alignment vertical="center"/>
    </xf>
    <xf numFmtId="0" fontId="0" fillId="3" borderId="7" xfId="0" applyFill="1" applyBorder="1" applyAlignment="1">
      <alignment vertical="center"/>
    </xf>
    <xf numFmtId="0" fontId="5" fillId="3" borderId="8" xfId="0" applyFont="1" applyFill="1" applyBorder="1" applyAlignment="1">
      <alignment horizontal="right" vertical="center"/>
    </xf>
    <xf numFmtId="0" fontId="0" fillId="3" borderId="9" xfId="0" applyFill="1" applyBorder="1" applyAlignment="1">
      <alignment vertical="center"/>
    </xf>
    <xf numFmtId="0" fontId="0" fillId="3" borderId="10" xfId="0" applyFill="1" applyBorder="1" applyAlignment="1">
      <alignment vertical="center"/>
    </xf>
    <xf numFmtId="0" fontId="5" fillId="3" borderId="3" xfId="0" applyFont="1" applyFill="1" applyBorder="1" applyAlignment="1">
      <alignment horizontal="right" vertical="center"/>
    </xf>
    <xf numFmtId="0" fontId="5" fillId="3" borderId="6" xfId="0" applyFont="1" applyFill="1" applyBorder="1" applyAlignment="1">
      <alignment horizontal="right" vertical="center"/>
    </xf>
    <xf numFmtId="0" fontId="6" fillId="0" borderId="0" xfId="0" applyFont="1" applyBorder="1" applyAlignment="1">
      <alignment horizontal="right" vertical="center"/>
    </xf>
    <xf numFmtId="0" fontId="1" fillId="5" borderId="0" xfId="0" applyFont="1" applyFill="1" applyAlignment="1">
      <alignment vertical="center"/>
    </xf>
    <xf numFmtId="0" fontId="9" fillId="5" borderId="1" xfId="0" applyFont="1" applyFill="1" applyBorder="1" applyAlignment="1">
      <alignment horizontal="right" vertical="center"/>
    </xf>
    <xf numFmtId="3" fontId="13" fillId="5" borderId="0" xfId="1" applyNumberFormat="1" applyFont="1" applyFill="1" applyBorder="1" applyAlignment="1">
      <alignment horizontal="center" vertical="center"/>
    </xf>
    <xf numFmtId="0" fontId="4" fillId="0" borderId="0" xfId="0" applyFont="1" applyBorder="1" applyAlignment="1">
      <alignment horizontal="left" vertical="center"/>
    </xf>
    <xf numFmtId="164" fontId="5" fillId="0" borderId="0" xfId="0" applyNumberFormat="1" applyFont="1" applyBorder="1" applyAlignment="1">
      <alignment horizontal="right" vertical="center"/>
    </xf>
    <xf numFmtId="0" fontId="12" fillId="7" borderId="0" xfId="0" applyFont="1" applyFill="1" applyBorder="1" applyAlignment="1">
      <alignment vertical="center"/>
    </xf>
    <xf numFmtId="0" fontId="12" fillId="7" borderId="0" xfId="0" applyFont="1" applyFill="1" applyBorder="1" applyAlignment="1">
      <alignment horizontal="right" vertical="center"/>
    </xf>
    <xf numFmtId="0" fontId="8" fillId="6" borderId="0" xfId="0" applyFont="1" applyFill="1" applyBorder="1" applyAlignment="1">
      <alignment horizontal="right" vertical="center"/>
    </xf>
    <xf numFmtId="0" fontId="0" fillId="0" borderId="0" xfId="0" applyBorder="1" applyAlignment="1">
      <alignment vertical="center"/>
    </xf>
    <xf numFmtId="0" fontId="6" fillId="3" borderId="0" xfId="0" applyFont="1" applyFill="1" applyBorder="1" applyAlignment="1">
      <alignment horizontal="right" vertical="center"/>
    </xf>
    <xf numFmtId="0" fontId="8" fillId="3" borderId="0" xfId="0" applyFont="1" applyFill="1" applyBorder="1" applyAlignment="1">
      <alignment vertical="center"/>
    </xf>
    <xf numFmtId="9" fontId="11" fillId="3" borderId="0" xfId="0" applyNumberFormat="1" applyFont="1" applyFill="1" applyBorder="1" applyAlignment="1">
      <alignment vertical="center"/>
    </xf>
    <xf numFmtId="165" fontId="11" fillId="3" borderId="0" xfId="0" applyNumberFormat="1" applyFont="1" applyFill="1" applyBorder="1" applyAlignment="1">
      <alignment vertical="center"/>
    </xf>
    <xf numFmtId="0" fontId="12" fillId="7" borderId="1" xfId="0" applyFont="1" applyFill="1" applyBorder="1" applyAlignment="1">
      <alignment horizontal="center" vertical="center"/>
    </xf>
    <xf numFmtId="3" fontId="7" fillId="0" borderId="0" xfId="1" applyNumberFormat="1" applyFont="1" applyBorder="1" applyAlignment="1">
      <alignment horizontal="right" vertical="center"/>
    </xf>
    <xf numFmtId="0" fontId="14" fillId="3"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8" fillId="0" borderId="0" xfId="0" applyFont="1" applyFill="1" applyBorder="1" applyAlignment="1">
      <alignment horizontal="right" vertical="center"/>
    </xf>
    <xf numFmtId="0" fontId="4" fillId="6" borderId="0" xfId="0" applyFont="1" applyFill="1" applyBorder="1" applyAlignment="1">
      <alignment horizontal="center" vertical="center"/>
    </xf>
    <xf numFmtId="0" fontId="4" fillId="6" borderId="0" xfId="0" applyFont="1" applyFill="1" applyBorder="1" applyAlignment="1">
      <alignment horizontal="right" vertical="center"/>
    </xf>
    <xf numFmtId="2" fontId="5" fillId="0" borderId="0" xfId="0" applyNumberFormat="1" applyFont="1" applyBorder="1" applyAlignment="1">
      <alignment horizontal="right" vertical="center"/>
    </xf>
    <xf numFmtId="4" fontId="7" fillId="0" borderId="0" xfId="1" applyNumberFormat="1" applyFont="1" applyBorder="1" applyAlignment="1">
      <alignment horizontal="right" vertical="center"/>
    </xf>
    <xf numFmtId="0" fontId="6" fillId="3" borderId="12" xfId="0" applyFont="1" applyFill="1" applyBorder="1" applyAlignment="1">
      <alignment horizontal="left" vertical="center"/>
    </xf>
    <xf numFmtId="0" fontId="6" fillId="3" borderId="11" xfId="0" applyFont="1" applyFill="1" applyBorder="1" applyAlignment="1">
      <alignment horizontal="right" vertical="center"/>
    </xf>
    <xf numFmtId="0" fontId="0" fillId="3" borderId="14" xfId="0" applyFill="1" applyBorder="1" applyAlignment="1">
      <alignment vertical="center"/>
    </xf>
    <xf numFmtId="0" fontId="6" fillId="3" borderId="2" xfId="0" applyFont="1" applyFill="1" applyBorder="1" applyAlignment="1">
      <alignment horizontal="right" vertical="center"/>
    </xf>
    <xf numFmtId="0" fontId="6" fillId="3" borderId="11" xfId="0" applyFont="1" applyFill="1" applyBorder="1" applyAlignment="1">
      <alignment horizontal="center" vertical="center"/>
    </xf>
    <xf numFmtId="0" fontId="6" fillId="3" borderId="2" xfId="0" applyFont="1" applyFill="1" applyBorder="1" applyAlignment="1">
      <alignment horizontal="center" vertical="center"/>
    </xf>
    <xf numFmtId="0" fontId="16" fillId="0" borderId="0" xfId="0" applyFont="1" applyBorder="1" applyAlignment="1">
      <alignment horizontal="left" vertical="center"/>
    </xf>
    <xf numFmtId="0" fontId="17" fillId="0" borderId="0" xfId="0" applyFont="1" applyFill="1" applyBorder="1" applyAlignment="1">
      <alignment horizontal="left" vertical="center"/>
    </xf>
    <xf numFmtId="0" fontId="9" fillId="5" borderId="0" xfId="0" applyFont="1" applyFill="1" applyAlignment="1">
      <alignment horizontal="center" vertical="center"/>
    </xf>
    <xf numFmtId="3" fontId="11" fillId="3" borderId="0" xfId="0" applyNumberFormat="1" applyFont="1" applyFill="1" applyBorder="1" applyAlignment="1">
      <alignment vertical="center"/>
    </xf>
    <xf numFmtId="3" fontId="11" fillId="0" borderId="0" xfId="0" applyNumberFormat="1" applyFont="1" applyAlignment="1">
      <alignment vertical="center"/>
    </xf>
    <xf numFmtId="3" fontId="11" fillId="3" borderId="4" xfId="0" applyNumberFormat="1" applyFont="1" applyFill="1" applyBorder="1" applyAlignment="1">
      <alignment vertical="center"/>
    </xf>
    <xf numFmtId="3" fontId="10" fillId="3" borderId="0" xfId="0" applyNumberFormat="1" applyFont="1" applyFill="1" applyBorder="1" applyAlignment="1">
      <alignment vertical="center"/>
    </xf>
    <xf numFmtId="3" fontId="10" fillId="3" borderId="0" xfId="0" applyNumberFormat="1" applyFont="1" applyFill="1" applyBorder="1" applyAlignment="1">
      <alignment horizontal="right" vertical="center"/>
    </xf>
    <xf numFmtId="3" fontId="11" fillId="3" borderId="9" xfId="0" applyNumberFormat="1" applyFont="1" applyFill="1" applyBorder="1" applyAlignment="1">
      <alignment vertical="center"/>
    </xf>
    <xf numFmtId="3" fontId="11" fillId="0" borderId="0" xfId="0" applyNumberFormat="1" applyFont="1" applyBorder="1" applyAlignment="1">
      <alignment horizontal="right" vertical="center"/>
    </xf>
    <xf numFmtId="3" fontId="19" fillId="5" borderId="0" xfId="0" applyNumberFormat="1" applyFont="1" applyFill="1" applyAlignment="1">
      <alignment vertical="center"/>
    </xf>
    <xf numFmtId="3" fontId="18" fillId="0" borderId="0" xfId="1" applyNumberFormat="1" applyFont="1" applyBorder="1" applyAlignment="1">
      <alignment horizontal="right" vertical="top"/>
    </xf>
    <xf numFmtId="3" fontId="11" fillId="0" borderId="0" xfId="0" applyNumberFormat="1" applyFont="1" applyFill="1" applyBorder="1"/>
    <xf numFmtId="3" fontId="11" fillId="0" borderId="0" xfId="0" applyNumberFormat="1" applyFont="1" applyFill="1" applyBorder="1" applyAlignment="1">
      <alignment horizontal="center"/>
    </xf>
    <xf numFmtId="3" fontId="10" fillId="0" borderId="11" xfId="0" applyNumberFormat="1" applyFont="1" applyBorder="1" applyAlignment="1">
      <alignment horizontal="right" vertical="center"/>
    </xf>
    <xf numFmtId="3" fontId="11" fillId="0" borderId="0" xfId="0" applyNumberFormat="1" applyFont="1" applyBorder="1" applyAlignment="1">
      <alignment vertical="center"/>
    </xf>
    <xf numFmtId="3" fontId="10" fillId="0" borderId="1" xfId="0" applyNumberFormat="1" applyFont="1" applyBorder="1" applyAlignment="1">
      <alignment horizontal="left" vertical="center"/>
    </xf>
    <xf numFmtId="3" fontId="10" fillId="0" borderId="0" xfId="0" applyNumberFormat="1" applyFont="1" applyAlignment="1">
      <alignment vertical="center"/>
    </xf>
    <xf numFmtId="3" fontId="11" fillId="0" borderId="0" xfId="0" applyNumberFormat="1" applyFont="1"/>
    <xf numFmtId="0" fontId="6" fillId="3" borderId="0" xfId="0" applyFont="1" applyFill="1" applyBorder="1" applyAlignment="1">
      <alignment horizontal="center" vertical="center"/>
    </xf>
    <xf numFmtId="0" fontId="6" fillId="3" borderId="17" xfId="0" applyFont="1" applyFill="1" applyBorder="1" applyAlignment="1">
      <alignment horizontal="left" vertical="center"/>
    </xf>
    <xf numFmtId="3" fontId="20" fillId="3" borderId="0" xfId="0" applyNumberFormat="1" applyFont="1" applyFill="1" applyBorder="1" applyAlignment="1">
      <alignment vertical="center"/>
    </xf>
    <xf numFmtId="0" fontId="12" fillId="7" borderId="0" xfId="0" applyFont="1" applyFill="1" applyBorder="1" applyAlignment="1">
      <alignment horizontal="left" vertical="center"/>
    </xf>
    <xf numFmtId="3" fontId="12" fillId="7" borderId="0" xfId="0" applyNumberFormat="1" applyFont="1" applyFill="1" applyBorder="1" applyAlignment="1">
      <alignment horizontal="left" vertical="center"/>
    </xf>
    <xf numFmtId="3" fontId="11" fillId="8" borderId="0" xfId="0" applyNumberFormat="1" applyFont="1" applyFill="1" applyBorder="1" applyAlignment="1">
      <alignment horizontal="left" vertical="center"/>
    </xf>
    <xf numFmtId="0" fontId="6" fillId="3" borderId="6" xfId="0" applyFont="1" applyFill="1" applyBorder="1" applyAlignment="1">
      <alignment horizontal="left" vertical="center"/>
    </xf>
    <xf numFmtId="3" fontId="10" fillId="3" borderId="0" xfId="0" applyNumberFormat="1" applyFont="1" applyFill="1" applyBorder="1" applyAlignment="1">
      <alignment horizontal="left" vertical="center"/>
    </xf>
    <xf numFmtId="0" fontId="21" fillId="3" borderId="0" xfId="0" applyFont="1" applyFill="1" applyBorder="1" applyAlignment="1">
      <alignment vertical="center"/>
    </xf>
    <xf numFmtId="9" fontId="11" fillId="0" borderId="0" xfId="2" applyFont="1"/>
    <xf numFmtId="164" fontId="11" fillId="0" borderId="0" xfId="0" applyNumberFormat="1" applyFont="1" applyFill="1" applyAlignment="1">
      <alignment horizontal="center"/>
    </xf>
    <xf numFmtId="0" fontId="11" fillId="0" borderId="0" xfId="0" applyFont="1" applyBorder="1" applyAlignment="1">
      <alignment horizontal="right" vertical="center"/>
    </xf>
    <xf numFmtId="0" fontId="11" fillId="0" borderId="0" xfId="0" applyFont="1" applyAlignment="1">
      <alignment vertical="center"/>
    </xf>
    <xf numFmtId="0" fontId="10" fillId="0" borderId="0" xfId="0" applyFont="1" applyBorder="1" applyAlignment="1">
      <alignment horizontal="center" vertical="center"/>
    </xf>
    <xf numFmtId="0" fontId="10" fillId="0" borderId="0" xfId="0" applyFont="1" applyBorder="1" applyAlignment="1">
      <alignment horizontal="right" vertical="center"/>
    </xf>
    <xf numFmtId="0" fontId="11" fillId="0" borderId="0" xfId="0" applyFont="1" applyAlignment="1">
      <alignment horizontal="center"/>
    </xf>
    <xf numFmtId="0" fontId="11" fillId="0" borderId="0" xfId="0" applyFont="1" applyBorder="1" applyAlignment="1">
      <alignment vertical="center"/>
    </xf>
    <xf numFmtId="9" fontId="18" fillId="0" borderId="0" xfId="2" applyFont="1" applyBorder="1" applyAlignment="1">
      <alignment horizontal="right" vertical="top"/>
    </xf>
    <xf numFmtId="0" fontId="5" fillId="9" borderId="0" xfId="0" applyFont="1" applyFill="1" applyAlignment="1">
      <alignment horizontal="center" vertical="center"/>
    </xf>
    <xf numFmtId="164" fontId="7" fillId="0" borderId="0" xfId="1" applyNumberFormat="1" applyFont="1" applyBorder="1" applyAlignment="1">
      <alignment horizontal="right" vertical="top"/>
    </xf>
    <xf numFmtId="0" fontId="6" fillId="3" borderId="13" xfId="0" applyFont="1" applyFill="1" applyBorder="1" applyAlignment="1">
      <alignment horizontal="center" vertical="center"/>
    </xf>
    <xf numFmtId="0" fontId="6" fillId="3" borderId="15" xfId="0" applyFont="1" applyFill="1" applyBorder="1" applyAlignment="1">
      <alignment horizontal="center" vertical="center"/>
    </xf>
    <xf numFmtId="0" fontId="0" fillId="3" borderId="17" xfId="0" applyFill="1" applyBorder="1" applyAlignment="1">
      <alignment vertical="center"/>
    </xf>
    <xf numFmtId="0" fontId="6" fillId="3" borderId="16" xfId="0" applyFont="1" applyFill="1" applyBorder="1" applyAlignment="1">
      <alignment horizontal="center" vertical="center"/>
    </xf>
    <xf numFmtId="0" fontId="0" fillId="3" borderId="12" xfId="0" applyFill="1" applyBorder="1" applyAlignment="1">
      <alignment vertical="center"/>
    </xf>
    <xf numFmtId="0" fontId="0" fillId="3" borderId="11" xfId="0" applyFill="1" applyBorder="1" applyAlignment="1">
      <alignment vertical="center"/>
    </xf>
    <xf numFmtId="0" fontId="0" fillId="3" borderId="13" xfId="0" applyFill="1" applyBorder="1" applyAlignment="1">
      <alignment vertical="center"/>
    </xf>
    <xf numFmtId="9" fontId="10" fillId="0" borderId="0" xfId="2" applyFont="1"/>
    <xf numFmtId="0" fontId="11" fillId="3" borderId="0" xfId="0" applyFont="1" applyFill="1" applyBorder="1" applyAlignment="1">
      <alignment vertical="center"/>
    </xf>
    <xf numFmtId="9" fontId="7" fillId="0" borderId="0" xfId="2" applyFont="1" applyBorder="1" applyAlignment="1">
      <alignment horizontal="center" vertical="center"/>
    </xf>
    <xf numFmtId="9" fontId="11" fillId="3" borderId="0" xfId="0" applyNumberFormat="1" applyFont="1" applyFill="1" applyBorder="1" applyAlignment="1">
      <alignment horizontal="center" vertical="center"/>
    </xf>
    <xf numFmtId="0" fontId="0" fillId="3" borderId="0" xfId="0" applyFill="1" applyBorder="1" applyAlignment="1">
      <alignment horizontal="center" vertical="center"/>
    </xf>
    <xf numFmtId="0" fontId="12" fillId="7" borderId="0" xfId="0" applyFont="1" applyFill="1" applyBorder="1" applyAlignment="1">
      <alignment horizontal="center" vertical="center"/>
    </xf>
    <xf numFmtId="3" fontId="22" fillId="0" borderId="0" xfId="0" applyNumberFormat="1" applyFont="1" applyBorder="1" applyAlignment="1">
      <alignment horizontal="left" vertical="center"/>
    </xf>
    <xf numFmtId="3" fontId="23" fillId="0" borderId="0" xfId="0" applyNumberFormat="1" applyFont="1" applyBorder="1" applyAlignment="1">
      <alignment horizontal="right" vertical="center"/>
    </xf>
    <xf numFmtId="3" fontId="19" fillId="7" borderId="1" xfId="0" applyNumberFormat="1" applyFont="1" applyFill="1" applyBorder="1" applyAlignment="1">
      <alignment horizontal="center" vertical="center"/>
    </xf>
    <xf numFmtId="0" fontId="11" fillId="0" borderId="0" xfId="0" applyFont="1" applyFill="1" applyAlignment="1">
      <alignment horizontal="center" vertical="center"/>
    </xf>
    <xf numFmtId="0" fontId="11" fillId="0" borderId="0" xfId="0" applyFont="1" applyFill="1" applyAlignment="1">
      <alignment vertical="center"/>
    </xf>
    <xf numFmtId="0" fontId="11" fillId="0" borderId="0" xfId="0" applyFont="1" applyFill="1" applyAlignment="1">
      <alignment horizontal="right"/>
    </xf>
    <xf numFmtId="0" fontId="11" fillId="0" borderId="0" xfId="0" applyFont="1" applyFill="1" applyAlignment="1">
      <alignment horizontal="center"/>
    </xf>
    <xf numFmtId="0" fontId="11" fillId="0" borderId="0" xfId="0" applyFont="1" applyFill="1" applyBorder="1" applyAlignment="1">
      <alignment horizontal="right" vertical="center"/>
    </xf>
    <xf numFmtId="3" fontId="11" fillId="0" borderId="0" xfId="0" applyNumberFormat="1" applyFont="1" applyFill="1" applyAlignment="1">
      <alignment vertical="center"/>
    </xf>
    <xf numFmtId="9" fontId="11" fillId="0" borderId="0" xfId="2" applyFont="1" applyFill="1"/>
    <xf numFmtId="0" fontId="24" fillId="10" borderId="0" xfId="0" applyFont="1" applyFill="1" applyBorder="1"/>
    <xf numFmtId="0" fontId="24" fillId="0" borderId="0" xfId="0" applyFont="1" applyFill="1" applyBorder="1"/>
    <xf numFmtId="0" fontId="25" fillId="0" borderId="0" xfId="0" applyFont="1" applyFill="1" applyBorder="1"/>
    <xf numFmtId="0" fontId="26" fillId="0" borderId="0" xfId="0" applyFont="1" applyFill="1" applyBorder="1"/>
    <xf numFmtId="15" fontId="24" fillId="0" borderId="0" xfId="0" applyNumberFormat="1" applyFont="1" applyFill="1" applyBorder="1"/>
    <xf numFmtId="3" fontId="10" fillId="0" borderId="0" xfId="0" applyNumberFormat="1" applyFont="1" applyBorder="1" applyAlignment="1">
      <alignment horizontal="right" vertical="center"/>
    </xf>
    <xf numFmtId="167" fontId="12" fillId="11" borderId="0" xfId="0" applyNumberFormat="1" applyFont="1" applyFill="1" applyAlignment="1">
      <alignment horizontal="center" vertical="center"/>
    </xf>
    <xf numFmtId="0" fontId="12" fillId="11" borderId="0" xfId="0" applyFont="1" applyFill="1" applyAlignment="1">
      <alignment horizontal="center" vertical="center"/>
    </xf>
    <xf numFmtId="3" fontId="12" fillId="11" borderId="0" xfId="0" applyNumberFormat="1" applyFont="1" applyFill="1" applyAlignment="1">
      <alignment horizontal="center" vertical="center"/>
    </xf>
    <xf numFmtId="0" fontId="11" fillId="2" borderId="0" xfId="0" applyFont="1" applyFill="1" applyAlignment="1">
      <alignment vertical="center"/>
    </xf>
    <xf numFmtId="164" fontId="10" fillId="0" borderId="0" xfId="0" applyNumberFormat="1" applyFont="1" applyAlignment="1">
      <alignment vertical="center"/>
    </xf>
    <xf numFmtId="164" fontId="11" fillId="0" borderId="0" xfId="0" applyNumberFormat="1" applyFont="1" applyBorder="1" applyAlignment="1">
      <alignment vertical="center"/>
    </xf>
    <xf numFmtId="164" fontId="11" fillId="0" borderId="0" xfId="0" applyNumberFormat="1" applyFont="1" applyFill="1" applyAlignment="1">
      <alignment vertical="center"/>
    </xf>
    <xf numFmtId="164" fontId="11" fillId="0" borderId="0" xfId="0" applyNumberFormat="1" applyFont="1"/>
    <xf numFmtId="168" fontId="11" fillId="0" borderId="0" xfId="0" applyNumberFormat="1" applyFont="1"/>
    <xf numFmtId="3" fontId="11" fillId="3" borderId="0" xfId="0" applyNumberFormat="1" applyFont="1" applyFill="1" applyBorder="1" applyAlignment="1">
      <alignment horizontal="center" vertical="center"/>
    </xf>
    <xf numFmtId="0" fontId="11" fillId="3" borderId="0" xfId="0" applyFont="1" applyFill="1" applyBorder="1" applyAlignment="1">
      <alignment horizontal="center" vertical="center"/>
    </xf>
    <xf numFmtId="3" fontId="10" fillId="0" borderId="2" xfId="0" applyNumberFormat="1" applyFont="1" applyFill="1" applyBorder="1" applyAlignment="1">
      <alignment horizontal="center"/>
    </xf>
    <xf numFmtId="3" fontId="10" fillId="0" borderId="2" xfId="0" applyNumberFormat="1" applyFont="1" applyFill="1" applyBorder="1" applyAlignment="1">
      <alignment horizontal="center" wrapText="1"/>
    </xf>
    <xf numFmtId="3" fontId="10" fillId="0" borderId="0" xfId="0" applyNumberFormat="1" applyFont="1" applyFill="1" applyBorder="1" applyAlignment="1">
      <alignment horizontal="center" wrapText="1"/>
    </xf>
    <xf numFmtId="9" fontId="11" fillId="0" borderId="0" xfId="2" applyFont="1" applyFill="1" applyBorder="1" applyAlignment="1">
      <alignment horizontal="center"/>
    </xf>
    <xf numFmtId="0" fontId="11" fillId="0" borderId="0" xfId="0" applyFont="1" applyFill="1" applyBorder="1" applyAlignment="1">
      <alignment horizontal="center"/>
    </xf>
    <xf numFmtId="165" fontId="11" fillId="0" borderId="0" xfId="2" applyNumberFormat="1" applyFont="1" applyFill="1" applyBorder="1"/>
    <xf numFmtId="9" fontId="10" fillId="0" borderId="0" xfId="2" applyFont="1" applyFill="1" applyBorder="1"/>
    <xf numFmtId="166" fontId="11" fillId="0" borderId="0" xfId="0" applyNumberFormat="1" applyFont="1" applyFill="1" applyBorder="1" applyAlignment="1">
      <alignment horizontal="center"/>
    </xf>
    <xf numFmtId="0" fontId="11" fillId="3" borderId="3" xfId="0" applyFont="1" applyFill="1" applyBorder="1" applyAlignment="1">
      <alignment horizontal="center" vertical="center"/>
    </xf>
    <xf numFmtId="0" fontId="11" fillId="3" borderId="4" xfId="0" applyFont="1" applyFill="1" applyBorder="1" applyAlignment="1">
      <alignment vertical="center"/>
    </xf>
    <xf numFmtId="0" fontId="11" fillId="3" borderId="5" xfId="0" applyFont="1" applyFill="1" applyBorder="1" applyAlignment="1">
      <alignment vertical="center"/>
    </xf>
    <xf numFmtId="0" fontId="10" fillId="3" borderId="6" xfId="0" applyFont="1" applyFill="1" applyBorder="1" applyAlignment="1">
      <alignment horizontal="center" vertical="center"/>
    </xf>
    <xf numFmtId="0" fontId="11" fillId="3" borderId="7" xfId="0" applyFont="1" applyFill="1" applyBorder="1" applyAlignment="1">
      <alignment vertical="center"/>
    </xf>
    <xf numFmtId="0" fontId="11" fillId="3" borderId="6" xfId="0" applyFont="1" applyFill="1" applyBorder="1" applyAlignment="1">
      <alignment horizontal="center" vertical="center"/>
    </xf>
    <xf numFmtId="0" fontId="10" fillId="3" borderId="0" xfId="0" applyFont="1" applyFill="1" applyBorder="1" applyAlignment="1">
      <alignment vertical="center"/>
    </xf>
    <xf numFmtId="0" fontId="11" fillId="9" borderId="0" xfId="0" applyFont="1" applyFill="1" applyBorder="1" applyAlignment="1">
      <alignment horizontal="right" vertical="center"/>
    </xf>
    <xf numFmtId="0" fontId="11" fillId="8" borderId="0" xfId="0" applyFont="1" applyFill="1" applyBorder="1" applyAlignment="1">
      <alignment horizontal="left" vertical="center"/>
    </xf>
    <xf numFmtId="0" fontId="11" fillId="8" borderId="0" xfId="0" applyFont="1" applyFill="1" applyBorder="1" applyAlignment="1">
      <alignment vertical="center"/>
    </xf>
    <xf numFmtId="0" fontId="11" fillId="0" borderId="0" xfId="0" applyFont="1" applyBorder="1" applyAlignment="1">
      <alignment horizontal="center" vertical="center"/>
    </xf>
    <xf numFmtId="0" fontId="10" fillId="3" borderId="0" xfId="0" applyFont="1" applyFill="1" applyBorder="1" applyAlignment="1">
      <alignment horizontal="center" vertical="center"/>
    </xf>
    <xf numFmtId="0" fontId="10" fillId="3" borderId="18" xfId="0" applyFont="1" applyFill="1" applyBorder="1" applyAlignment="1">
      <alignment horizontal="center" vertical="center"/>
    </xf>
    <xf numFmtId="0" fontId="11" fillId="4" borderId="0" xfId="0" applyFont="1" applyFill="1" applyAlignment="1">
      <alignment horizontal="center"/>
    </xf>
    <xf numFmtId="0" fontId="10" fillId="3" borderId="0" xfId="0" applyFont="1" applyFill="1" applyBorder="1" applyAlignment="1">
      <alignment horizontal="right" vertical="center"/>
    </xf>
    <xf numFmtId="0" fontId="11" fillId="3" borderId="8" xfId="0" applyFont="1" applyFill="1" applyBorder="1" applyAlignment="1">
      <alignment horizontal="center" vertical="center"/>
    </xf>
    <xf numFmtId="0" fontId="11" fillId="3" borderId="9" xfId="0" applyFont="1" applyFill="1" applyBorder="1" applyAlignment="1">
      <alignment vertical="center"/>
    </xf>
    <xf numFmtId="0" fontId="11" fillId="3" borderId="10" xfId="0" applyFont="1" applyFill="1" applyBorder="1" applyAlignment="1">
      <alignment vertical="center"/>
    </xf>
    <xf numFmtId="0" fontId="19" fillId="5" borderId="0" xfId="0" applyFont="1" applyFill="1" applyAlignment="1">
      <alignment horizontal="center" vertical="center"/>
    </xf>
    <xf numFmtId="0" fontId="19" fillId="5" borderId="0" xfId="0" applyFont="1" applyFill="1" applyBorder="1" applyAlignment="1">
      <alignment horizontal="right" vertical="center"/>
    </xf>
    <xf numFmtId="0" fontId="19" fillId="5" borderId="0" xfId="0" applyFont="1" applyFill="1" applyAlignment="1">
      <alignment vertical="center"/>
    </xf>
    <xf numFmtId="0" fontId="23" fillId="0" borderId="0" xfId="0" applyFont="1" applyBorder="1" applyAlignment="1">
      <alignment horizontal="center" vertical="center"/>
    </xf>
    <xf numFmtId="0" fontId="23" fillId="0" borderId="0" xfId="0" applyFont="1" applyBorder="1" applyAlignment="1">
      <alignment horizontal="right" vertical="center"/>
    </xf>
    <xf numFmtId="0" fontId="22" fillId="0" borderId="0" xfId="0" applyFont="1" applyBorder="1" applyAlignment="1">
      <alignment horizontal="left" vertical="center"/>
    </xf>
    <xf numFmtId="0" fontId="10" fillId="6" borderId="0" xfId="0" applyFont="1" applyFill="1" applyBorder="1" applyAlignment="1">
      <alignment horizontal="right" vertical="center"/>
    </xf>
    <xf numFmtId="0" fontId="11" fillId="2" borderId="0" xfId="0" applyFont="1" applyFill="1" applyBorder="1" applyAlignment="1">
      <alignment horizontal="left" vertical="center"/>
    </xf>
    <xf numFmtId="164" fontId="11" fillId="0" borderId="0" xfId="0" applyNumberFormat="1" applyFont="1" applyBorder="1" applyAlignment="1">
      <alignment horizontal="right" vertical="center"/>
    </xf>
    <xf numFmtId="0" fontId="10" fillId="0" borderId="2" xfId="0" applyFont="1" applyFill="1" applyBorder="1" applyAlignment="1">
      <alignment horizontal="center"/>
    </xf>
    <xf numFmtId="0" fontId="10" fillId="0" borderId="0" xfId="0" applyFont="1" applyFill="1" applyBorder="1" applyAlignment="1">
      <alignment horizontal="right"/>
    </xf>
    <xf numFmtId="0" fontId="10" fillId="0" borderId="2" xfId="0" applyFont="1" applyFill="1" applyBorder="1" applyAlignment="1"/>
    <xf numFmtId="0" fontId="10" fillId="0" borderId="2" xfId="0" applyFont="1" applyFill="1" applyBorder="1" applyAlignment="1">
      <alignment horizontal="right"/>
    </xf>
    <xf numFmtId="0" fontId="10" fillId="0" borderId="2" xfId="0" applyFont="1" applyFill="1" applyBorder="1" applyAlignment="1">
      <alignment horizontal="center" wrapText="1"/>
    </xf>
    <xf numFmtId="0" fontId="11" fillId="0" borderId="0" xfId="0" applyFont="1" applyFill="1" applyBorder="1"/>
    <xf numFmtId="0" fontId="10" fillId="0" borderId="0" xfId="0" applyFont="1" applyAlignment="1">
      <alignment horizontal="center" vertical="center"/>
    </xf>
    <xf numFmtId="0" fontId="10" fillId="0" borderId="0" xfId="0" applyFont="1" applyAlignment="1">
      <alignment vertical="center"/>
    </xf>
    <xf numFmtId="3" fontId="10" fillId="3" borderId="0" xfId="0" applyNumberFormat="1" applyFont="1" applyFill="1" applyBorder="1" applyAlignment="1">
      <alignment horizontal="center" vertical="center"/>
    </xf>
    <xf numFmtId="3" fontId="11" fillId="3" borderId="0" xfId="0" applyNumberFormat="1" applyFont="1" applyFill="1" applyBorder="1" applyAlignment="1">
      <alignment horizontal="right" vertical="center"/>
    </xf>
    <xf numFmtId="3" fontId="10" fillId="3" borderId="18" xfId="0" applyNumberFormat="1" applyFont="1" applyFill="1" applyBorder="1" applyAlignment="1">
      <alignment horizontal="center" vertical="center"/>
    </xf>
    <xf numFmtId="9" fontId="10" fillId="0" borderId="0" xfId="2" applyFont="1" applyFill="1"/>
    <xf numFmtId="165" fontId="10" fillId="0" borderId="0" xfId="2" applyNumberFormat="1" applyFont="1" applyAlignment="1">
      <alignment vertical="center"/>
    </xf>
    <xf numFmtId="165" fontId="11" fillId="0" borderId="0" xfId="2" applyNumberFormat="1" applyFont="1" applyAlignment="1">
      <alignment vertical="center"/>
    </xf>
    <xf numFmtId="3" fontId="18" fillId="0" borderId="0" xfId="1" applyNumberFormat="1" applyFont="1" applyFill="1" applyBorder="1" applyAlignment="1">
      <alignment horizontal="center" vertical="center"/>
    </xf>
    <xf numFmtId="0" fontId="11" fillId="0" borderId="0" xfId="0" applyFont="1" applyFill="1" applyBorder="1" applyAlignment="1">
      <alignment horizontal="center" vertical="center"/>
    </xf>
    <xf numFmtId="3" fontId="12" fillId="0" borderId="0" xfId="1" applyNumberFormat="1" applyFont="1" applyFill="1" applyBorder="1" applyAlignment="1">
      <alignment horizontal="center" vertical="center"/>
    </xf>
    <xf numFmtId="0" fontId="19" fillId="0" borderId="0" xfId="0" applyFont="1" applyFill="1" applyAlignment="1">
      <alignment horizontal="center" vertical="center"/>
    </xf>
    <xf numFmtId="0" fontId="23" fillId="0" borderId="0" xfId="0" applyFont="1" applyFill="1" applyBorder="1" applyAlignment="1">
      <alignment horizontal="right" vertical="center"/>
    </xf>
    <xf numFmtId="0" fontId="23" fillId="0" borderId="0" xfId="0" applyFont="1" applyFill="1" applyBorder="1" applyAlignment="1">
      <alignment horizontal="center" vertical="center"/>
    </xf>
    <xf numFmtId="0" fontId="10" fillId="0" borderId="0" xfId="0" applyFont="1" applyFill="1" applyBorder="1" applyAlignment="1">
      <alignment horizontal="center" vertical="center"/>
    </xf>
    <xf numFmtId="3" fontId="10" fillId="0" borderId="0" xfId="0" applyNumberFormat="1" applyFont="1" applyFill="1" applyBorder="1" applyAlignment="1">
      <alignment horizontal="right" vertical="center"/>
    </xf>
    <xf numFmtId="3" fontId="27" fillId="0" borderId="0" xfId="1" applyNumberFormat="1" applyFont="1" applyFill="1" applyBorder="1" applyAlignment="1">
      <alignment horizontal="center" vertical="center"/>
    </xf>
    <xf numFmtId="0" fontId="10" fillId="0" borderId="0" xfId="0" applyFont="1" applyFill="1" applyAlignment="1">
      <alignment horizontal="center" vertical="center"/>
    </xf>
    <xf numFmtId="0" fontId="11" fillId="0" borderId="0" xfId="0" applyFont="1" applyFill="1"/>
    <xf numFmtId="0" fontId="11" fillId="0" borderId="0" xfId="0" applyFont="1" applyFill="1" applyBorder="1" applyAlignment="1">
      <alignment vertical="center"/>
    </xf>
    <xf numFmtId="0" fontId="10" fillId="0" borderId="0" xfId="0" applyFont="1" applyFill="1" applyBorder="1" applyAlignment="1">
      <alignment horizontal="left" vertical="center"/>
    </xf>
    <xf numFmtId="0" fontId="19" fillId="0" borderId="0" xfId="0" applyFont="1" applyFill="1" applyBorder="1" applyAlignment="1">
      <alignment horizontal="right" vertical="center"/>
    </xf>
    <xf numFmtId="0" fontId="22" fillId="0" borderId="0" xfId="0" applyFont="1" applyFill="1" applyBorder="1" applyAlignment="1">
      <alignment horizontal="right" vertical="center"/>
    </xf>
    <xf numFmtId="0" fontId="10" fillId="0" borderId="0" xfId="0" applyFont="1" applyFill="1" applyBorder="1" applyAlignment="1">
      <alignment horizontal="right" vertical="center"/>
    </xf>
    <xf numFmtId="3" fontId="11" fillId="0" borderId="0" xfId="0" applyNumberFormat="1" applyFont="1" applyFill="1" applyBorder="1" applyAlignment="1">
      <alignment horizontal="right" vertical="center"/>
    </xf>
    <xf numFmtId="0" fontId="10" fillId="0" borderId="0" xfId="0" applyFont="1" applyFill="1" applyBorder="1" applyAlignment="1">
      <alignment vertical="center"/>
    </xf>
    <xf numFmtId="0" fontId="19" fillId="0" borderId="0" xfId="0" applyFont="1" applyFill="1" applyAlignment="1">
      <alignment vertical="center"/>
    </xf>
    <xf numFmtId="0" fontId="10" fillId="0" borderId="0" xfId="0" applyFont="1" applyFill="1" applyAlignment="1">
      <alignment vertical="center"/>
    </xf>
    <xf numFmtId="3" fontId="10" fillId="0" borderId="0" xfId="0" applyNumberFormat="1" applyFont="1" applyFill="1" applyAlignment="1">
      <alignment vertical="center"/>
    </xf>
    <xf numFmtId="168" fontId="11" fillId="0" borderId="0" xfId="0" applyNumberFormat="1" applyFont="1" applyFill="1"/>
    <xf numFmtId="164" fontId="11" fillId="0" borderId="0" xfId="0" applyNumberFormat="1" applyFont="1" applyFill="1" applyBorder="1" applyAlignment="1">
      <alignment vertical="center"/>
    </xf>
    <xf numFmtId="165" fontId="10" fillId="0" borderId="0" xfId="2" applyNumberFormat="1" applyFont="1" applyFill="1" applyAlignment="1">
      <alignment vertical="center"/>
    </xf>
    <xf numFmtId="165" fontId="11" fillId="0" borderId="0" xfId="2" applyNumberFormat="1" applyFont="1" applyFill="1" applyAlignment="1">
      <alignment vertical="center"/>
    </xf>
    <xf numFmtId="3" fontId="11" fillId="0" borderId="0" xfId="0" applyNumberFormat="1" applyFont="1" applyFill="1"/>
    <xf numFmtId="0" fontId="10" fillId="0" borderId="0" xfId="0" applyFont="1" applyFill="1" applyAlignment="1">
      <alignment horizontal="right"/>
    </xf>
    <xf numFmtId="0" fontId="10" fillId="0" borderId="0" xfId="0" applyFont="1" applyFill="1" applyAlignment="1">
      <alignment horizontal="center"/>
    </xf>
    <xf numFmtId="4" fontId="18" fillId="0" borderId="0" xfId="1" applyNumberFormat="1" applyFont="1" applyBorder="1" applyAlignment="1">
      <alignment horizontal="right" vertical="top"/>
    </xf>
    <xf numFmtId="3" fontId="11" fillId="0" borderId="0" xfId="0" applyNumberFormat="1" applyFont="1" applyBorder="1" applyAlignment="1">
      <alignment horizontal="left" vertical="center"/>
    </xf>
    <xf numFmtId="3" fontId="28" fillId="3" borderId="0" xfId="0" applyNumberFormat="1" applyFont="1" applyFill="1" applyBorder="1" applyAlignment="1">
      <alignment vertical="center"/>
    </xf>
    <xf numFmtId="3" fontId="15" fillId="3" borderId="0" xfId="0" applyNumberFormat="1" applyFont="1" applyFill="1" applyBorder="1" applyAlignment="1">
      <alignment vertical="center"/>
    </xf>
    <xf numFmtId="0" fontId="10" fillId="0" borderId="2" xfId="0" applyNumberFormat="1" applyFont="1" applyFill="1" applyBorder="1" applyAlignment="1">
      <alignment horizontal="center"/>
    </xf>
    <xf numFmtId="9" fontId="18" fillId="0" borderId="0" xfId="2" applyFont="1" applyBorder="1" applyAlignment="1">
      <alignment horizontal="center" vertical="top"/>
    </xf>
    <xf numFmtId="0" fontId="11" fillId="3" borderId="6" xfId="0" applyFont="1" applyFill="1" applyBorder="1" applyAlignment="1">
      <alignment horizontal="left" vertical="center"/>
    </xf>
    <xf numFmtId="0" fontId="10" fillId="3" borderId="6" xfId="0" applyFont="1" applyFill="1" applyBorder="1" applyAlignment="1">
      <alignment horizontal="right" vertical="center"/>
    </xf>
    <xf numFmtId="0" fontId="11" fillId="3" borderId="0" xfId="0" applyFont="1" applyFill="1" applyBorder="1" applyAlignment="1">
      <alignment horizontal="left" vertical="center"/>
    </xf>
    <xf numFmtId="0" fontId="0" fillId="3" borderId="0" xfId="0" applyFill="1" applyBorder="1" applyAlignment="1" applyProtection="1">
      <alignment vertical="center"/>
      <protection locked="0"/>
    </xf>
    <xf numFmtId="165" fontId="7" fillId="0" borderId="0" xfId="2" applyNumberFormat="1" applyFont="1" applyBorder="1" applyAlignment="1">
      <alignment horizontal="right" vertical="top"/>
    </xf>
    <xf numFmtId="0" fontId="6" fillId="0" borderId="0" xfId="0" applyFont="1" applyBorder="1" applyAlignment="1">
      <alignment horizontal="left" vertical="center"/>
    </xf>
    <xf numFmtId="168" fontId="11" fillId="0" borderId="0" xfId="0" applyNumberFormat="1" applyFont="1" applyFill="1" applyAlignment="1">
      <alignment horizontal="center"/>
    </xf>
    <xf numFmtId="164" fontId="6" fillId="0" borderId="0" xfId="0" applyNumberFormat="1" applyFont="1" applyFill="1" applyBorder="1" applyAlignment="1">
      <alignment horizontal="left" vertical="center"/>
    </xf>
    <xf numFmtId="164" fontId="29" fillId="0" borderId="0" xfId="1" applyNumberFormat="1" applyFont="1" applyBorder="1" applyAlignment="1">
      <alignment horizontal="left" vertical="top"/>
    </xf>
    <xf numFmtId="169" fontId="5" fillId="0" borderId="0" xfId="0" applyNumberFormat="1" applyFont="1" applyFill="1" applyBorder="1" applyAlignment="1">
      <alignment horizontal="right" vertical="center"/>
    </xf>
    <xf numFmtId="2" fontId="5" fillId="0" borderId="0" xfId="0" applyNumberFormat="1" applyFont="1" applyFill="1" applyBorder="1" applyAlignment="1">
      <alignment horizontal="right" vertical="center"/>
    </xf>
    <xf numFmtId="0" fontId="6" fillId="0" borderId="0" xfId="0" applyFont="1" applyFill="1" applyBorder="1" applyAlignment="1">
      <alignment horizontal="right" vertical="center"/>
    </xf>
    <xf numFmtId="164" fontId="10" fillId="0" borderId="0" xfId="0" applyNumberFormat="1" applyFont="1" applyFill="1" applyAlignment="1">
      <alignment horizontal="center" vertical="center"/>
    </xf>
    <xf numFmtId="3" fontId="32" fillId="3" borderId="0" xfId="0" applyNumberFormat="1" applyFont="1" applyFill="1" applyBorder="1" applyAlignment="1">
      <alignment horizontal="right" vertical="center"/>
    </xf>
    <xf numFmtId="3" fontId="32" fillId="3" borderId="0" xfId="0" applyNumberFormat="1" applyFont="1" applyFill="1" applyBorder="1" applyAlignment="1">
      <alignment horizontal="left" vertical="center"/>
    </xf>
    <xf numFmtId="3" fontId="33" fillId="3" borderId="0" xfId="0" applyNumberFormat="1" applyFont="1" applyFill="1" applyBorder="1" applyAlignment="1">
      <alignment vertical="center"/>
    </xf>
    <xf numFmtId="0" fontId="11" fillId="3" borderId="16" xfId="0" applyFont="1" applyFill="1" applyBorder="1" applyAlignment="1">
      <alignment vertical="center"/>
    </xf>
    <xf numFmtId="3" fontId="11" fillId="12" borderId="0" xfId="0" applyNumberFormat="1" applyFont="1" applyFill="1" applyBorder="1" applyAlignment="1">
      <alignment vertical="center"/>
    </xf>
    <xf numFmtId="0" fontId="11" fillId="12" borderId="0" xfId="0" applyFont="1" applyFill="1" applyBorder="1" applyAlignment="1">
      <alignment vertical="center"/>
    </xf>
    <xf numFmtId="3" fontId="11" fillId="12" borderId="0" xfId="0" applyNumberFormat="1" applyFont="1" applyFill="1" applyBorder="1" applyAlignment="1">
      <alignment horizontal="right" vertical="center"/>
    </xf>
    <xf numFmtId="3" fontId="30" fillId="12" borderId="0" xfId="0" applyNumberFormat="1" applyFont="1" applyFill="1" applyBorder="1" applyAlignment="1">
      <alignment horizontal="right" vertical="center"/>
    </xf>
    <xf numFmtId="9" fontId="31" fillId="12" borderId="0" xfId="2" applyFont="1" applyFill="1" applyBorder="1" applyAlignment="1">
      <alignment horizontal="center" vertical="center"/>
    </xf>
    <xf numFmtId="3" fontId="11" fillId="12" borderId="0" xfId="0" applyNumberFormat="1" applyFont="1" applyFill="1" applyBorder="1" applyAlignment="1">
      <alignment horizontal="center" vertical="center"/>
    </xf>
    <xf numFmtId="0" fontId="10" fillId="12" borderId="0" xfId="0" applyFont="1" applyFill="1" applyBorder="1" applyAlignment="1">
      <alignment horizontal="right" vertical="center"/>
    </xf>
    <xf numFmtId="165" fontId="31" fillId="12" borderId="0" xfId="0" applyNumberFormat="1" applyFont="1" applyFill="1" applyBorder="1" applyAlignment="1">
      <alignment horizontal="center" vertical="center"/>
    </xf>
    <xf numFmtId="9" fontId="31" fillId="12" borderId="0" xfId="0" applyNumberFormat="1" applyFont="1" applyFill="1" applyBorder="1" applyAlignment="1">
      <alignment horizontal="center" vertical="center"/>
    </xf>
    <xf numFmtId="0" fontId="31" fillId="12" borderId="0" xfId="0" applyFont="1" applyFill="1" applyBorder="1" applyAlignment="1">
      <alignment horizontal="center" vertical="center"/>
    </xf>
    <xf numFmtId="0" fontId="31" fillId="12" borderId="0" xfId="0" applyFont="1" applyFill="1" applyBorder="1" applyAlignment="1">
      <alignment vertical="center"/>
    </xf>
    <xf numFmtId="165" fontId="31" fillId="12" borderId="0" xfId="0" applyNumberFormat="1" applyFont="1" applyFill="1" applyBorder="1" applyAlignment="1">
      <alignment vertical="center"/>
    </xf>
    <xf numFmtId="3" fontId="31" fillId="12" borderId="0" xfId="0" applyNumberFormat="1" applyFont="1" applyFill="1" applyBorder="1" applyAlignment="1">
      <alignment horizontal="center" vertical="center"/>
    </xf>
    <xf numFmtId="3" fontId="10" fillId="12" borderId="0" xfId="0" applyNumberFormat="1" applyFont="1" applyFill="1" applyBorder="1" applyAlignment="1">
      <alignment horizontal="right" vertical="center"/>
    </xf>
    <xf numFmtId="9" fontId="11" fillId="12" borderId="0" xfId="2" applyFont="1" applyFill="1" applyBorder="1" applyAlignment="1">
      <alignment horizontal="center" vertical="center"/>
    </xf>
    <xf numFmtId="165" fontId="11" fillId="12" borderId="0" xfId="0" applyNumberFormat="1" applyFont="1" applyFill="1" applyBorder="1" applyAlignment="1">
      <alignment horizontal="center" vertical="center"/>
    </xf>
    <xf numFmtId="9" fontId="11" fillId="12" borderId="0" xfId="0" applyNumberFormat="1" applyFont="1" applyFill="1" applyBorder="1" applyAlignment="1">
      <alignment horizontal="center" vertical="center"/>
    </xf>
    <xf numFmtId="0" fontId="11" fillId="12" borderId="0" xfId="0" applyFont="1" applyFill="1" applyBorder="1" applyAlignment="1">
      <alignment horizontal="center" vertical="center"/>
    </xf>
    <xf numFmtId="165" fontId="11" fillId="12" borderId="0" xfId="0" applyNumberFormat="1" applyFont="1" applyFill="1" applyBorder="1" applyAlignment="1">
      <alignment vertical="center"/>
    </xf>
    <xf numFmtId="0" fontId="10" fillId="12" borderId="0" xfId="0" applyFont="1" applyFill="1" applyBorder="1" applyAlignment="1">
      <alignment horizontal="center" vertical="center"/>
    </xf>
    <xf numFmtId="3" fontId="10" fillId="12" borderId="0" xfId="0" applyNumberFormat="1" applyFont="1" applyFill="1" applyBorder="1" applyAlignment="1">
      <alignment horizontal="left" vertical="center"/>
    </xf>
    <xf numFmtId="3" fontId="32" fillId="12" borderId="2" xfId="0" applyNumberFormat="1" applyFont="1" applyFill="1" applyBorder="1" applyAlignment="1">
      <alignment horizontal="center" vertical="center"/>
    </xf>
    <xf numFmtId="3" fontId="32" fillId="12" borderId="2" xfId="0" applyNumberFormat="1" applyFont="1" applyFill="1" applyBorder="1" applyAlignment="1">
      <alignment vertical="center"/>
    </xf>
    <xf numFmtId="3" fontId="33" fillId="12" borderId="2" xfId="0" applyNumberFormat="1" applyFont="1" applyFill="1" applyBorder="1" applyAlignment="1">
      <alignment vertical="center"/>
    </xf>
    <xf numFmtId="0" fontId="33" fillId="12" borderId="2" xfId="0" applyFont="1" applyFill="1" applyBorder="1" applyAlignment="1">
      <alignment vertical="center"/>
    </xf>
    <xf numFmtId="0" fontId="32" fillId="12" borderId="2" xfId="0" applyFont="1" applyFill="1" applyBorder="1" applyAlignment="1">
      <alignment horizontal="center" vertical="center"/>
    </xf>
    <xf numFmtId="0" fontId="32" fillId="12" borderId="2" xfId="0" applyFont="1" applyFill="1" applyBorder="1" applyAlignment="1">
      <alignment vertical="center"/>
    </xf>
    <xf numFmtId="0" fontId="11" fillId="3" borderId="19" xfId="0" applyFont="1" applyFill="1" applyBorder="1" applyAlignment="1">
      <alignment vertical="center"/>
    </xf>
    <xf numFmtId="0" fontId="11" fillId="3" borderId="20" xfId="0" applyFont="1" applyFill="1" applyBorder="1" applyAlignment="1">
      <alignment vertical="center"/>
    </xf>
    <xf numFmtId="3" fontId="34" fillId="3" borderId="0" xfId="0" applyNumberFormat="1" applyFont="1" applyFill="1" applyBorder="1" applyAlignment="1">
      <alignment vertical="center"/>
    </xf>
    <xf numFmtId="0" fontId="11" fillId="0" borderId="0" xfId="0" applyFont="1" applyBorder="1" applyAlignment="1">
      <alignment horizontal="right" vertical="center" wrapText="1"/>
    </xf>
    <xf numFmtId="0" fontId="11" fillId="3" borderId="6" xfId="0" applyFont="1" applyFill="1" applyBorder="1" applyAlignment="1">
      <alignment horizontal="center" vertical="center" wrapText="1"/>
    </xf>
    <xf numFmtId="3" fontId="11" fillId="3" borderId="0" xfId="0" applyNumberFormat="1" applyFont="1" applyFill="1" applyBorder="1" applyAlignment="1">
      <alignment vertical="center" wrapText="1"/>
    </xf>
    <xf numFmtId="0" fontId="12" fillId="7" borderId="1" xfId="3" applyNumberFormat="1" applyFont="1" applyFill="1" applyBorder="1" applyAlignment="1">
      <alignment horizontal="center" vertical="center" wrapText="1"/>
    </xf>
    <xf numFmtId="3" fontId="12" fillId="7" borderId="1" xfId="0" applyNumberFormat="1" applyFont="1" applyFill="1" applyBorder="1" applyAlignment="1">
      <alignment horizontal="center" vertical="center" wrapText="1"/>
    </xf>
    <xf numFmtId="0" fontId="10" fillId="3" borderId="0" xfId="0" applyFont="1" applyFill="1" applyBorder="1" applyAlignment="1">
      <alignment vertical="center" wrapText="1"/>
    </xf>
    <xf numFmtId="0" fontId="11" fillId="3" borderId="0" xfId="0" applyFont="1" applyFill="1" applyBorder="1" applyAlignment="1">
      <alignment vertical="center" wrapText="1"/>
    </xf>
    <xf numFmtId="0" fontId="11" fillId="3" borderId="7" xfId="0" applyFont="1" applyFill="1" applyBorder="1" applyAlignment="1">
      <alignment vertical="center" wrapText="1"/>
    </xf>
    <xf numFmtId="0" fontId="11" fillId="0" borderId="0" xfId="0" applyFont="1" applyAlignment="1">
      <alignment vertical="center" wrapText="1"/>
    </xf>
    <xf numFmtId="0" fontId="11" fillId="0" borderId="0" xfId="0" applyFont="1" applyFill="1" applyAlignment="1">
      <alignment vertical="center" wrapText="1"/>
    </xf>
    <xf numFmtId="0" fontId="11" fillId="3" borderId="16" xfId="0" applyFont="1" applyFill="1" applyBorder="1" applyAlignment="1">
      <alignment vertical="center" wrapText="1"/>
    </xf>
    <xf numFmtId="0" fontId="11" fillId="0" borderId="0" xfId="0" applyFont="1" applyAlignment="1">
      <alignment horizontal="center" vertical="center" wrapText="1"/>
    </xf>
    <xf numFmtId="3" fontId="10" fillId="3" borderId="0" xfId="0" applyNumberFormat="1" applyFont="1" applyFill="1" applyBorder="1" applyAlignment="1">
      <alignment horizontal="right" vertical="center" wrapText="1"/>
    </xf>
    <xf numFmtId="3" fontId="35" fillId="0" borderId="0" xfId="0" applyNumberFormat="1" applyFont="1"/>
    <xf numFmtId="0" fontId="8" fillId="3" borderId="0" xfId="0" applyFont="1" applyFill="1" applyBorder="1" applyAlignment="1">
      <alignment horizontal="right" vertical="center"/>
    </xf>
    <xf numFmtId="3" fontId="32" fillId="12" borderId="2" xfId="0" applyNumberFormat="1" applyFont="1" applyFill="1" applyBorder="1" applyAlignment="1">
      <alignment vertical="center" wrapText="1"/>
    </xf>
    <xf numFmtId="3" fontId="15" fillId="3" borderId="0" xfId="0" applyNumberFormat="1" applyFont="1" applyFill="1" applyBorder="1" applyAlignment="1">
      <alignment horizontal="right" vertical="center"/>
    </xf>
    <xf numFmtId="9" fontId="7" fillId="0" borderId="0" xfId="2" applyFont="1" applyBorder="1" applyAlignment="1">
      <alignment horizontal="right" vertical="center"/>
    </xf>
    <xf numFmtId="0" fontId="10" fillId="13" borderId="0" xfId="0" applyFont="1" applyFill="1" applyBorder="1" applyAlignment="1"/>
    <xf numFmtId="0" fontId="37" fillId="0" borderId="0" xfId="0" applyFont="1" applyFill="1" applyBorder="1"/>
    <xf numFmtId="0" fontId="24" fillId="0" borderId="0" xfId="0" applyFont="1" applyFill="1" applyBorder="1" applyAlignment="1">
      <alignment wrapText="1"/>
    </xf>
    <xf numFmtId="0" fontId="37" fillId="0" borderId="0" xfId="0" applyFont="1" applyFill="1" applyBorder="1" applyAlignment="1">
      <alignment horizontal="left" wrapText="1"/>
    </xf>
    <xf numFmtId="2" fontId="18" fillId="0" borderId="0" xfId="2" applyNumberFormat="1" applyFont="1" applyBorder="1" applyAlignment="1">
      <alignment horizontal="right" vertical="top"/>
    </xf>
    <xf numFmtId="0" fontId="10" fillId="0" borderId="0" xfId="0" applyFont="1" applyFill="1" applyBorder="1" applyAlignment="1">
      <alignment horizontal="left"/>
    </xf>
    <xf numFmtId="165" fontId="18" fillId="0" borderId="0" xfId="2" applyNumberFormat="1" applyFont="1" applyBorder="1" applyAlignment="1">
      <alignment horizontal="right" vertical="top"/>
    </xf>
    <xf numFmtId="3" fontId="33" fillId="0" borderId="0" xfId="1" applyNumberFormat="1" applyFont="1" applyBorder="1" applyAlignment="1">
      <alignment horizontal="right" vertical="center"/>
    </xf>
    <xf numFmtId="3" fontId="33" fillId="0" borderId="0" xfId="1" applyNumberFormat="1" applyFont="1" applyBorder="1" applyAlignment="1">
      <alignment horizontal="center" vertical="center"/>
    </xf>
    <xf numFmtId="3" fontId="32" fillId="3" borderId="0" xfId="0" applyNumberFormat="1" applyFont="1" applyFill="1" applyBorder="1" applyAlignment="1">
      <alignment horizontal="right" vertical="center" wrapText="1"/>
    </xf>
    <xf numFmtId="3" fontId="32" fillId="3" borderId="0" xfId="0" applyNumberFormat="1" applyFont="1" applyFill="1" applyBorder="1" applyAlignment="1">
      <alignment horizontal="center" vertical="center"/>
    </xf>
    <xf numFmtId="9" fontId="33" fillId="0" borderId="0" xfId="2" applyNumberFormat="1" applyFont="1" applyBorder="1" applyAlignment="1">
      <alignment horizontal="center" vertical="center"/>
    </xf>
    <xf numFmtId="165" fontId="33" fillId="0" borderId="0" xfId="2" applyNumberFormat="1" applyFont="1" applyBorder="1" applyAlignment="1">
      <alignment horizontal="center" vertical="center"/>
    </xf>
    <xf numFmtId="9" fontId="11" fillId="0" borderId="0" xfId="2" applyFont="1" applyBorder="1" applyAlignment="1">
      <alignment horizontal="right" vertical="center"/>
    </xf>
    <xf numFmtId="0" fontId="24" fillId="0" borderId="0" xfId="0" applyFont="1" applyFill="1" applyBorder="1" applyAlignment="1">
      <alignment horizontal="left" wrapText="1"/>
    </xf>
    <xf numFmtId="0" fontId="37" fillId="0" borderId="0" xfId="0" applyFont="1" applyFill="1" applyBorder="1" applyAlignment="1">
      <alignment horizontal="left" wrapText="1"/>
    </xf>
    <xf numFmtId="3" fontId="32" fillId="12" borderId="2" xfId="0" applyNumberFormat="1" applyFont="1" applyFill="1" applyBorder="1" applyAlignment="1">
      <alignment horizontal="right" vertical="center" wrapText="1"/>
    </xf>
    <xf numFmtId="0" fontId="38" fillId="0" borderId="0" xfId="0" applyFont="1" applyAlignment="1">
      <alignment horizontal="left" vertical="center"/>
    </xf>
  </cellXfs>
  <cellStyles count="4">
    <cellStyle name="Comma" xfId="3" builtinId="3"/>
    <cellStyle name="Normal" xfId="0" builtinId="0"/>
    <cellStyle name="Normal_spss-cycle6" xfId="1" xr:uid="{00000000-0005-0000-0000-000003000000}"/>
    <cellStyle name="Percent" xfId="2" builtinId="5"/>
  </cellStyles>
  <dxfs count="117">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1'!$I$62</c:f>
          <c:strCache>
            <c:ptCount val="1"/>
            <c:pt idx="0">
              <c:v>Number of people</c:v>
            </c:pt>
          </c:strCache>
        </c:strRef>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'Table 1'!$G$68</c:f>
              <c:strCache>
                <c:ptCount val="1"/>
                <c:pt idx="0">
                  <c:v>British Columbia, All ages, both sexes, Current smoker</c:v>
                </c:pt>
              </c:strCache>
            </c:strRef>
          </c:tx>
          <c:spPr>
            <a:solidFill>
              <a:schemeClr val="accent1"/>
            </a:solidFill>
            <a:ln>
              <a:noFill/>
            </a:ln>
            <a:effectLst/>
          </c:spPr>
          <c:invertIfNegative val="0"/>
          <c:errBars>
            <c:errBarType val="both"/>
            <c:errValType val="cust"/>
            <c:noEndCap val="0"/>
            <c:plus>
              <c:numRef>
                <c:f>'Table 1'!$I$36:$Q$36</c:f>
                <c:numCache>
                  <c:formatCode>General</c:formatCode>
                  <c:ptCount val="9"/>
                  <c:pt idx="0">
                    <c:v>33734.160000000003</c:v>
                  </c:pt>
                  <c:pt idx="1">
                    <c:v>35647.128000000004</c:v>
                  </c:pt>
                  <c:pt idx="2">
                    <c:v>33246.199999999997</c:v>
                  </c:pt>
                  <c:pt idx="3">
                    <c:v>39662.487999999998</c:v>
                  </c:pt>
                  <c:pt idx="4">
                    <c:v>42626.495999999999</c:v>
                  </c:pt>
                  <c:pt idx="5">
                    <c:v>43915.522000000004</c:v>
                  </c:pt>
                  <c:pt idx="6">
                    <c:v>36269.46</c:v>
                  </c:pt>
                  <c:pt idx="7">
                    <c:v>39761.33</c:v>
                  </c:pt>
                  <c:pt idx="8">
                    <c:v>36327.480000000003</c:v>
                  </c:pt>
                </c:numCache>
              </c:numRef>
            </c:plus>
            <c:minus>
              <c:numRef>
                <c:f>'Table 1'!$I$36:$Q$36</c:f>
                <c:numCache>
                  <c:formatCode>General</c:formatCode>
                  <c:ptCount val="9"/>
                  <c:pt idx="0">
                    <c:v>33734.160000000003</c:v>
                  </c:pt>
                  <c:pt idx="1">
                    <c:v>35647.128000000004</c:v>
                  </c:pt>
                  <c:pt idx="2">
                    <c:v>33246.199999999997</c:v>
                  </c:pt>
                  <c:pt idx="3">
                    <c:v>39662.487999999998</c:v>
                  </c:pt>
                  <c:pt idx="4">
                    <c:v>42626.495999999999</c:v>
                  </c:pt>
                  <c:pt idx="5">
                    <c:v>43915.522000000004</c:v>
                  </c:pt>
                  <c:pt idx="6">
                    <c:v>36269.46</c:v>
                  </c:pt>
                  <c:pt idx="7">
                    <c:v>39761.33</c:v>
                  </c:pt>
                  <c:pt idx="8">
                    <c:v>36327.480000000003</c:v>
                  </c:pt>
                </c:numCache>
              </c:numRef>
            </c:minus>
            <c:spPr>
              <a:noFill/>
              <a:ln w="9525" cap="flat" cmpd="sng" algn="ctr">
                <a:solidFill>
                  <a:schemeClr val="tx1">
                    <a:lumMod val="65000"/>
                    <a:lumOff val="35000"/>
                  </a:schemeClr>
                </a:solidFill>
                <a:round/>
              </a:ln>
              <a:effectLst/>
            </c:spPr>
          </c:errBars>
          <c:cat>
            <c:strRef>
              <c:f>'Table 1'!$H$67:$P$67</c:f>
              <c:strCache>
                <c:ptCount val="9"/>
                <c:pt idx="0">
                  <c:v>2001</c:v>
                </c:pt>
                <c:pt idx="1">
                  <c:v>2003</c:v>
                </c:pt>
                <c:pt idx="2">
                  <c:v>2005</c:v>
                </c:pt>
                <c:pt idx="3">
                  <c:v>2007-2008</c:v>
                </c:pt>
                <c:pt idx="4">
                  <c:v>2009-2010</c:v>
                </c:pt>
                <c:pt idx="5">
                  <c:v>2011-2012</c:v>
                </c:pt>
                <c:pt idx="6">
                  <c:v>2013-2014</c:v>
                </c:pt>
                <c:pt idx="7">
                  <c:v>2015-2016</c:v>
                </c:pt>
                <c:pt idx="8">
                  <c:v>2017-2018</c:v>
                </c:pt>
              </c:strCache>
            </c:strRef>
          </c:cat>
          <c:val>
            <c:numRef>
              <c:f>'Table 1'!$H$68:$P$68</c:f>
              <c:numCache>
                <c:formatCode>#,##0</c:formatCode>
                <c:ptCount val="9"/>
                <c:pt idx="0">
                  <c:v>702795</c:v>
                </c:pt>
                <c:pt idx="1">
                  <c:v>660132</c:v>
                </c:pt>
                <c:pt idx="2">
                  <c:v>639350</c:v>
                </c:pt>
                <c:pt idx="3">
                  <c:v>683836</c:v>
                </c:pt>
                <c:pt idx="4">
                  <c:v>645856</c:v>
                </c:pt>
                <c:pt idx="5">
                  <c:v>593453</c:v>
                </c:pt>
                <c:pt idx="6">
                  <c:v>604491</c:v>
                </c:pt>
                <c:pt idx="7">
                  <c:v>568019</c:v>
                </c:pt>
                <c:pt idx="8">
                  <c:v>518964</c:v>
                </c:pt>
              </c:numCache>
            </c:numRef>
          </c:val>
          <c:extLst>
            <c:ext xmlns:c16="http://schemas.microsoft.com/office/drawing/2014/chart" uri="{C3380CC4-5D6E-409C-BE32-E72D297353CC}">
              <c16:uniqueId val="{00000000-5EBB-4980-A1E7-2C70289C7494}"/>
            </c:ext>
          </c:extLst>
        </c:ser>
        <c:ser>
          <c:idx val="1"/>
          <c:order val="1"/>
          <c:tx>
            <c:strRef>
              <c:f>'Table 1'!$G$69</c:f>
              <c:strCache>
                <c:ptCount val="1"/>
                <c:pt idx="0">
                  <c:v>Quebec, All ages, both sexes, Current smoker</c:v>
                </c:pt>
              </c:strCache>
            </c:strRef>
          </c:tx>
          <c:spPr>
            <a:solidFill>
              <a:schemeClr val="tx1"/>
            </a:solidFill>
            <a:ln>
              <a:noFill/>
            </a:ln>
            <a:effectLst/>
          </c:spPr>
          <c:invertIfNegative val="0"/>
          <c:errBars>
            <c:errBarType val="both"/>
            <c:errValType val="cust"/>
            <c:noEndCap val="0"/>
            <c:plus>
              <c:numRef>
                <c:f>'Table 1'!$I$37:$Q$37</c:f>
                <c:numCache>
                  <c:formatCode>General</c:formatCode>
                  <c:ptCount val="9"/>
                  <c:pt idx="0">
                    <c:v>62249.41</c:v>
                  </c:pt>
                  <c:pt idx="1">
                    <c:v>59016.347999999998</c:v>
                  </c:pt>
                  <c:pt idx="2">
                    <c:v>56749.896000000008</c:v>
                  </c:pt>
                  <c:pt idx="3">
                    <c:v>47827.71</c:v>
                  </c:pt>
                  <c:pt idx="4">
                    <c:v>52091.025999999998</c:v>
                  </c:pt>
                  <c:pt idx="5">
                    <c:v>63996.407999999996</c:v>
                  </c:pt>
                  <c:pt idx="6">
                    <c:v>59726.351999999999</c:v>
                  </c:pt>
                  <c:pt idx="7">
                    <c:v>67374.47600000001</c:v>
                  </c:pt>
                  <c:pt idx="8">
                    <c:v>63980.35</c:v>
                  </c:pt>
                </c:numCache>
              </c:numRef>
            </c:plus>
            <c:minus>
              <c:numRef>
                <c:f>'Table 1'!$I$37:$Q$37</c:f>
                <c:numCache>
                  <c:formatCode>General</c:formatCode>
                  <c:ptCount val="9"/>
                  <c:pt idx="0">
                    <c:v>62249.41</c:v>
                  </c:pt>
                  <c:pt idx="1">
                    <c:v>59016.347999999998</c:v>
                  </c:pt>
                  <c:pt idx="2">
                    <c:v>56749.896000000008</c:v>
                  </c:pt>
                  <c:pt idx="3">
                    <c:v>47827.71</c:v>
                  </c:pt>
                  <c:pt idx="4">
                    <c:v>52091.025999999998</c:v>
                  </c:pt>
                  <c:pt idx="5">
                    <c:v>63996.407999999996</c:v>
                  </c:pt>
                  <c:pt idx="6">
                    <c:v>59726.351999999999</c:v>
                  </c:pt>
                  <c:pt idx="7">
                    <c:v>67374.47600000001</c:v>
                  </c:pt>
                  <c:pt idx="8">
                    <c:v>63980.35</c:v>
                  </c:pt>
                </c:numCache>
              </c:numRef>
            </c:minus>
            <c:spPr>
              <a:noFill/>
              <a:ln w="9525" cap="flat" cmpd="sng" algn="ctr">
                <a:solidFill>
                  <a:schemeClr val="tx1">
                    <a:lumMod val="65000"/>
                    <a:lumOff val="35000"/>
                  </a:schemeClr>
                </a:solidFill>
                <a:round/>
              </a:ln>
              <a:effectLst/>
            </c:spPr>
          </c:errBars>
          <c:cat>
            <c:strRef>
              <c:f>'Table 1'!$H$67:$P$67</c:f>
              <c:strCache>
                <c:ptCount val="9"/>
                <c:pt idx="0">
                  <c:v>2001</c:v>
                </c:pt>
                <c:pt idx="1">
                  <c:v>2003</c:v>
                </c:pt>
                <c:pt idx="2">
                  <c:v>2005</c:v>
                </c:pt>
                <c:pt idx="3">
                  <c:v>2007-2008</c:v>
                </c:pt>
                <c:pt idx="4">
                  <c:v>2009-2010</c:v>
                </c:pt>
                <c:pt idx="5">
                  <c:v>2011-2012</c:v>
                </c:pt>
                <c:pt idx="6">
                  <c:v>2013-2014</c:v>
                </c:pt>
                <c:pt idx="7">
                  <c:v>2015-2016</c:v>
                </c:pt>
                <c:pt idx="8">
                  <c:v>2017-2018</c:v>
                </c:pt>
              </c:strCache>
            </c:strRef>
          </c:cat>
          <c:val>
            <c:numRef>
              <c:f>'Table 1'!$H$69:$P$69</c:f>
              <c:numCache>
                <c:formatCode>#,##0</c:formatCode>
                <c:ptCount val="9"/>
                <c:pt idx="0">
                  <c:v>1830865</c:v>
                </c:pt>
                <c:pt idx="1">
                  <c:v>1639343</c:v>
                </c:pt>
                <c:pt idx="2">
                  <c:v>1576386</c:v>
                </c:pt>
                <c:pt idx="3">
                  <c:v>1594257</c:v>
                </c:pt>
                <c:pt idx="4">
                  <c:v>1532089</c:v>
                </c:pt>
                <c:pt idx="5">
                  <c:v>1523724</c:v>
                </c:pt>
                <c:pt idx="6">
                  <c:v>1422056</c:v>
                </c:pt>
                <c:pt idx="7">
                  <c:v>1295663</c:v>
                </c:pt>
                <c:pt idx="8">
                  <c:v>1279607</c:v>
                </c:pt>
              </c:numCache>
            </c:numRef>
          </c:val>
          <c:extLst>
            <c:ext xmlns:c16="http://schemas.microsoft.com/office/drawing/2014/chart" uri="{C3380CC4-5D6E-409C-BE32-E72D297353CC}">
              <c16:uniqueId val="{00000001-5EBB-4980-A1E7-2C70289C7494}"/>
            </c:ext>
          </c:extLst>
        </c:ser>
        <c:dLbls>
          <c:showLegendKey val="0"/>
          <c:showVal val="0"/>
          <c:showCatName val="0"/>
          <c:showSerName val="0"/>
          <c:showPercent val="0"/>
          <c:showBubbleSize val="0"/>
        </c:dLbls>
        <c:gapWidth val="150"/>
        <c:axId val="388043856"/>
        <c:axId val="388045496"/>
        <c:extLst/>
      </c:barChart>
      <c:catAx>
        <c:axId val="388043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n-US"/>
          </a:p>
        </c:txPr>
        <c:crossAx val="388045496"/>
        <c:crosses val="autoZero"/>
        <c:auto val="1"/>
        <c:lblAlgn val="ctr"/>
        <c:lblOffset val="100"/>
        <c:noMultiLvlLbl val="0"/>
      </c:catAx>
      <c:valAx>
        <c:axId val="3880454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n-US"/>
          </a:p>
        </c:txPr>
        <c:crossAx val="388043856"/>
        <c:crosses val="autoZero"/>
        <c:crossBetween val="between"/>
      </c:valAx>
      <c:spPr>
        <a:noFill/>
        <a:ln>
          <a:noFill/>
        </a:ln>
        <a:effectLst/>
      </c:spPr>
    </c:plotArea>
    <c:legend>
      <c:legendPos val="b"/>
      <c:layout>
        <c:manualLayout>
          <c:xMode val="edge"/>
          <c:yMode val="edge"/>
          <c:x val="1.7032572304120655E-2"/>
          <c:y val="0.83854111986001745"/>
          <c:w val="0.96593485539175872"/>
          <c:h val="0.13368110236220473"/>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200" b="1" i="0" u="none" strike="noStrike" kern="1200" spc="0" baseline="0">
                <a:solidFill>
                  <a:sysClr val="windowText" lastClr="000000">
                    <a:lumMod val="65000"/>
                    <a:lumOff val="35000"/>
                  </a:sysClr>
                </a:solidFill>
                <a:latin typeface="+mn-lt"/>
                <a:ea typeface="+mn-ea"/>
                <a:cs typeface="+mn-cs"/>
              </a:defRPr>
            </a:pPr>
            <a:r>
              <a:rPr lang="en-US"/>
              <a:t>Percentage of population  </a:t>
            </a:r>
          </a:p>
        </c:rich>
      </c:tx>
      <c:overlay val="0"/>
      <c:spPr>
        <a:noFill/>
        <a:ln>
          <a:noFill/>
        </a:ln>
        <a:effectLst/>
      </c:spPr>
      <c:txPr>
        <a:bodyPr rot="0" spcFirstLastPara="1" vertOverflow="ellipsis" vert="horz" wrap="square" anchor="ctr" anchorCtr="1"/>
        <a:lstStyle/>
        <a:p>
          <a:pPr algn="ctr" rtl="0">
            <a:defRPr lang="en-US" sz="1200" b="1" i="0" u="none" strike="noStrike" kern="1200" spc="0" baseline="0">
              <a:solidFill>
                <a:sysClr val="windowText" lastClr="000000">
                  <a:lumMod val="65000"/>
                  <a:lumOff val="35000"/>
                </a:sysClr>
              </a:solidFill>
              <a:latin typeface="+mn-lt"/>
              <a:ea typeface="+mn-ea"/>
              <a:cs typeface="+mn-cs"/>
            </a:defRPr>
          </a:pPr>
          <a:endParaRPr lang="en-US"/>
        </a:p>
      </c:txPr>
    </c:title>
    <c:autoTitleDeleted val="0"/>
    <c:plotArea>
      <c:layout/>
      <c:lineChart>
        <c:grouping val="standard"/>
        <c:varyColors val="0"/>
        <c:ser>
          <c:idx val="0"/>
          <c:order val="0"/>
          <c:tx>
            <c:strRef>
              <c:f>'Table 1'!$T$68</c:f>
              <c:strCache>
                <c:ptCount val="1"/>
                <c:pt idx="0">
                  <c:v>British Columbia, All ages, both sexes, Current smoker</c:v>
                </c:pt>
              </c:strCache>
            </c:strRef>
          </c:tx>
          <c:spPr>
            <a:ln w="41275" cap="rnd">
              <a:solidFill>
                <a:schemeClr val="accent1"/>
              </a:solidFill>
              <a:round/>
            </a:ln>
            <a:effectLst/>
          </c:spPr>
          <c:marker>
            <c:symbol val="circle"/>
            <c:size val="5"/>
            <c:spPr>
              <a:solidFill>
                <a:schemeClr val="accent1"/>
              </a:solidFill>
              <a:ln w="9525">
                <a:solidFill>
                  <a:schemeClr val="accent1"/>
                </a:solidFill>
              </a:ln>
              <a:effectLst/>
            </c:spPr>
          </c:marker>
          <c:errBars>
            <c:errDir val="y"/>
            <c:errBarType val="both"/>
            <c:errValType val="cust"/>
            <c:noEndCap val="0"/>
            <c:plus>
              <c:numRef>
                <c:f>'Table 1'!$S$36:$AA$36</c:f>
                <c:numCache>
                  <c:formatCode>General</c:formatCode>
                  <c:ptCount val="9"/>
                  <c:pt idx="0">
                    <c:v>9.8589724143554412E-3</c:v>
                  </c:pt>
                  <c:pt idx="1">
                    <c:v>1.0121354741037125E-2</c:v>
                  </c:pt>
                  <c:pt idx="2">
                    <c:v>9.2300738795699985E-3</c:v>
                  </c:pt>
                  <c:pt idx="3">
                    <c:v>1.0550618912194618E-2</c:v>
                  </c:pt>
                  <c:pt idx="4">
                    <c:v>1.1024392211996081E-2</c:v>
                  </c:pt>
                  <c:pt idx="5">
                    <c:v>1.115347702941852E-2</c:v>
                  </c:pt>
                  <c:pt idx="6">
                    <c:v>9.11615924234465E-3</c:v>
                  </c:pt>
                  <c:pt idx="7">
                    <c:v>9.8892053085547719E-3</c:v>
                  </c:pt>
                  <c:pt idx="8">
                    <c:v>8.7972716637247581E-3</c:v>
                  </c:pt>
                </c:numCache>
              </c:numRef>
            </c:plus>
            <c:minus>
              <c:numRef>
                <c:f>'Table 1'!$S$36:$AA$36</c:f>
                <c:numCache>
                  <c:formatCode>General</c:formatCode>
                  <c:ptCount val="9"/>
                  <c:pt idx="0">
                    <c:v>9.8589724143554412E-3</c:v>
                  </c:pt>
                  <c:pt idx="1">
                    <c:v>1.0121354741037125E-2</c:v>
                  </c:pt>
                  <c:pt idx="2">
                    <c:v>9.2300738795699985E-3</c:v>
                  </c:pt>
                  <c:pt idx="3">
                    <c:v>1.0550618912194618E-2</c:v>
                  </c:pt>
                  <c:pt idx="4">
                    <c:v>1.1024392211996081E-2</c:v>
                  </c:pt>
                  <c:pt idx="5">
                    <c:v>1.115347702941852E-2</c:v>
                  </c:pt>
                  <c:pt idx="6">
                    <c:v>9.11615924234465E-3</c:v>
                  </c:pt>
                  <c:pt idx="7">
                    <c:v>9.8892053085547719E-3</c:v>
                  </c:pt>
                  <c:pt idx="8">
                    <c:v>8.7972716637247581E-3</c:v>
                  </c:pt>
                </c:numCache>
              </c:numRef>
            </c:minus>
            <c:spPr>
              <a:noFill/>
              <a:ln w="9525" cap="flat" cmpd="sng" algn="ctr">
                <a:solidFill>
                  <a:schemeClr val="tx1">
                    <a:lumMod val="65000"/>
                    <a:lumOff val="35000"/>
                  </a:schemeClr>
                </a:solidFill>
                <a:round/>
              </a:ln>
              <a:effectLst/>
            </c:spPr>
          </c:errBars>
          <c:cat>
            <c:strRef>
              <c:f>'Table 1'!$U$67:$AC$67</c:f>
              <c:strCache>
                <c:ptCount val="9"/>
                <c:pt idx="0">
                  <c:v>2001</c:v>
                </c:pt>
                <c:pt idx="1">
                  <c:v>2003</c:v>
                </c:pt>
                <c:pt idx="2">
                  <c:v>2005</c:v>
                </c:pt>
                <c:pt idx="3">
                  <c:v>2007-2008</c:v>
                </c:pt>
                <c:pt idx="4">
                  <c:v>2009-2010</c:v>
                </c:pt>
                <c:pt idx="5">
                  <c:v>2011-2012</c:v>
                </c:pt>
                <c:pt idx="6">
                  <c:v>2013-2014</c:v>
                </c:pt>
                <c:pt idx="7">
                  <c:v>2015-2016</c:v>
                </c:pt>
                <c:pt idx="8">
                  <c:v>2017-2018</c:v>
                </c:pt>
              </c:strCache>
            </c:strRef>
          </c:cat>
          <c:val>
            <c:numRef>
              <c:f>'Table 1'!$U$68:$AC$68</c:f>
              <c:numCache>
                <c:formatCode>0%</c:formatCode>
                <c:ptCount val="9"/>
                <c:pt idx="0">
                  <c:v>0.20539525863240504</c:v>
                </c:pt>
                <c:pt idx="1">
                  <c:v>0.18743249520439118</c:v>
                </c:pt>
                <c:pt idx="2">
                  <c:v>0.17750142076096151</c:v>
                </c:pt>
                <c:pt idx="3">
                  <c:v>0.18190722262404513</c:v>
                </c:pt>
                <c:pt idx="4">
                  <c:v>0.16703624563630429</c:v>
                </c:pt>
                <c:pt idx="5">
                  <c:v>0.1507226625597097</c:v>
                </c:pt>
                <c:pt idx="6">
                  <c:v>0.15193598737241082</c:v>
                </c:pt>
                <c:pt idx="7">
                  <c:v>0.14127436155078246</c:v>
                </c:pt>
                <c:pt idx="8">
                  <c:v>0.12567530948178224</c:v>
                </c:pt>
              </c:numCache>
            </c:numRef>
          </c:val>
          <c:smooth val="0"/>
          <c:extLst>
            <c:ext xmlns:c16="http://schemas.microsoft.com/office/drawing/2014/chart" uri="{C3380CC4-5D6E-409C-BE32-E72D297353CC}">
              <c16:uniqueId val="{00000000-5A01-4AD1-868A-A132CD3D9D44}"/>
            </c:ext>
          </c:extLst>
        </c:ser>
        <c:ser>
          <c:idx val="1"/>
          <c:order val="1"/>
          <c:tx>
            <c:strRef>
              <c:f>'Table 1'!$T$69</c:f>
              <c:strCache>
                <c:ptCount val="1"/>
                <c:pt idx="0">
                  <c:v>Quebec, All ages, both sexes, Current smoker</c:v>
                </c:pt>
              </c:strCache>
            </c:strRef>
          </c:tx>
          <c:spPr>
            <a:ln w="41275" cap="rnd">
              <a:solidFill>
                <a:schemeClr val="tx1"/>
              </a:solidFill>
              <a:round/>
            </a:ln>
            <a:effectLst/>
          </c:spPr>
          <c:marker>
            <c:symbol val="circle"/>
            <c:size val="5"/>
            <c:spPr>
              <a:solidFill>
                <a:schemeClr val="accent2"/>
              </a:solidFill>
              <a:ln w="9525">
                <a:solidFill>
                  <a:schemeClr val="tx1"/>
                </a:solidFill>
              </a:ln>
              <a:effectLst/>
            </c:spPr>
          </c:marker>
          <c:errBars>
            <c:errDir val="y"/>
            <c:errBarType val="both"/>
            <c:errValType val="cust"/>
            <c:noEndCap val="0"/>
            <c:plus>
              <c:numRef>
                <c:f>'Table 1'!$S$37:$AA$37</c:f>
                <c:numCache>
                  <c:formatCode>General</c:formatCode>
                  <c:ptCount val="9"/>
                  <c:pt idx="0">
                    <c:v>1.0013217572470645E-2</c:v>
                  </c:pt>
                  <c:pt idx="1">
                    <c:v>9.2970433194672457E-3</c:v>
                  </c:pt>
                  <c:pt idx="2">
                    <c:v>8.7744689851716601E-3</c:v>
                  </c:pt>
                  <c:pt idx="3">
                    <c:v>7.2486655330138497E-3</c:v>
                  </c:pt>
                  <c:pt idx="4">
                    <c:v>7.7598937441353179E-3</c:v>
                  </c:pt>
                  <c:pt idx="5">
                    <c:v>9.3722863511348439E-3</c:v>
                  </c:pt>
                  <c:pt idx="6">
                    <c:v>8.5755678878850824E-3</c:v>
                  </c:pt>
                  <c:pt idx="7">
                    <c:v>9.5464641180514672E-3</c:v>
                  </c:pt>
                  <c:pt idx="8">
                    <c:v>8.9378827531657497E-3</c:v>
                  </c:pt>
                </c:numCache>
              </c:numRef>
            </c:plus>
            <c:minus>
              <c:numRef>
                <c:f>'Table 1'!$S$37:$AA$37</c:f>
                <c:numCache>
                  <c:formatCode>General</c:formatCode>
                  <c:ptCount val="9"/>
                  <c:pt idx="0">
                    <c:v>1.0013217572470645E-2</c:v>
                  </c:pt>
                  <c:pt idx="1">
                    <c:v>9.2970433194672457E-3</c:v>
                  </c:pt>
                  <c:pt idx="2">
                    <c:v>8.7744689851716601E-3</c:v>
                  </c:pt>
                  <c:pt idx="3">
                    <c:v>7.2486655330138497E-3</c:v>
                  </c:pt>
                  <c:pt idx="4">
                    <c:v>7.7598937441353179E-3</c:v>
                  </c:pt>
                  <c:pt idx="5">
                    <c:v>9.3722863511348439E-3</c:v>
                  </c:pt>
                  <c:pt idx="6">
                    <c:v>8.5755678878850824E-3</c:v>
                  </c:pt>
                  <c:pt idx="7">
                    <c:v>9.5464641180514672E-3</c:v>
                  </c:pt>
                  <c:pt idx="8">
                    <c:v>8.9378827531657497E-3</c:v>
                  </c:pt>
                </c:numCache>
              </c:numRef>
            </c:minus>
            <c:spPr>
              <a:noFill/>
              <a:ln w="9525" cap="flat" cmpd="sng" algn="ctr">
                <a:solidFill>
                  <a:schemeClr val="tx1">
                    <a:lumMod val="65000"/>
                    <a:lumOff val="35000"/>
                  </a:schemeClr>
                </a:solidFill>
                <a:round/>
              </a:ln>
              <a:effectLst/>
            </c:spPr>
          </c:errBars>
          <c:cat>
            <c:strRef>
              <c:f>'Table 1'!$U$67:$AC$67</c:f>
              <c:strCache>
                <c:ptCount val="9"/>
                <c:pt idx="0">
                  <c:v>2001</c:v>
                </c:pt>
                <c:pt idx="1">
                  <c:v>2003</c:v>
                </c:pt>
                <c:pt idx="2">
                  <c:v>2005</c:v>
                </c:pt>
                <c:pt idx="3">
                  <c:v>2007-2008</c:v>
                </c:pt>
                <c:pt idx="4">
                  <c:v>2009-2010</c:v>
                </c:pt>
                <c:pt idx="5">
                  <c:v>2011-2012</c:v>
                </c:pt>
                <c:pt idx="6">
                  <c:v>2013-2014</c:v>
                </c:pt>
                <c:pt idx="7">
                  <c:v>2015-2016</c:v>
                </c:pt>
                <c:pt idx="8">
                  <c:v>2017-2018</c:v>
                </c:pt>
              </c:strCache>
            </c:strRef>
          </c:cat>
          <c:val>
            <c:numRef>
              <c:f>'Table 1'!$U$69:$AC$69</c:f>
              <c:numCache>
                <c:formatCode>0%</c:formatCode>
                <c:ptCount val="9"/>
                <c:pt idx="0">
                  <c:v>0.29450639919031307</c:v>
                </c:pt>
                <c:pt idx="1">
                  <c:v>0.25825120331853463</c:v>
                </c:pt>
                <c:pt idx="2">
                  <c:v>0.24373524958810169</c:v>
                </c:pt>
                <c:pt idx="3">
                  <c:v>0.24162218443379499</c:v>
                </c:pt>
                <c:pt idx="4">
                  <c:v>0.22823216894515641</c:v>
                </c:pt>
                <c:pt idx="5">
                  <c:v>0.22314967502702007</c:v>
                </c:pt>
                <c:pt idx="6">
                  <c:v>0.20418018780678768</c:v>
                </c:pt>
                <c:pt idx="7">
                  <c:v>0.18358584842406667</c:v>
                </c:pt>
                <c:pt idx="8">
                  <c:v>0.17875765506331501</c:v>
                </c:pt>
              </c:numCache>
            </c:numRef>
          </c:val>
          <c:smooth val="0"/>
          <c:extLst>
            <c:ext xmlns:c16="http://schemas.microsoft.com/office/drawing/2014/chart" uri="{C3380CC4-5D6E-409C-BE32-E72D297353CC}">
              <c16:uniqueId val="{00000001-5A01-4AD1-868A-A132CD3D9D44}"/>
            </c:ext>
          </c:extLst>
        </c:ser>
        <c:dLbls>
          <c:showLegendKey val="0"/>
          <c:showVal val="0"/>
          <c:showCatName val="0"/>
          <c:showSerName val="0"/>
          <c:showPercent val="0"/>
          <c:showBubbleSize val="0"/>
        </c:dLbls>
        <c:marker val="1"/>
        <c:smooth val="0"/>
        <c:axId val="459994424"/>
        <c:axId val="459999344"/>
      </c:lineChart>
      <c:catAx>
        <c:axId val="459994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n-US"/>
          </a:p>
        </c:txPr>
        <c:crossAx val="459999344"/>
        <c:crosses val="autoZero"/>
        <c:auto val="1"/>
        <c:lblAlgn val="ctr"/>
        <c:lblOffset val="100"/>
        <c:noMultiLvlLbl val="0"/>
      </c:catAx>
      <c:valAx>
        <c:axId val="4599993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n-US"/>
          </a:p>
        </c:txPr>
        <c:crossAx val="459994424"/>
        <c:crosses val="autoZero"/>
        <c:crossBetween val="between"/>
      </c:valAx>
      <c:spPr>
        <a:noFill/>
        <a:ln>
          <a:noFill/>
        </a:ln>
        <a:effectLst/>
      </c:spPr>
    </c:plotArea>
    <c:legend>
      <c:legendPos val="b"/>
      <c:layout>
        <c:manualLayout>
          <c:xMode val="edge"/>
          <c:yMode val="edge"/>
          <c:x val="2.2354998227528872E-2"/>
          <c:y val="0.82836719836460215"/>
          <c:w val="0.95529000354494209"/>
          <c:h val="0.14387437532678796"/>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strRef>
          <c:f>'Table 2'!$G$62</c:f>
          <c:strCache>
            <c:ptCount val="1"/>
            <c:pt idx="0">
              <c:v>Percent of population, All ages, both sexes, Current smoker</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'Table 2'!$I$39</c:f>
              <c:strCache>
                <c:ptCount val="1"/>
                <c:pt idx="0">
                  <c:v>2000-2001</c:v>
                </c:pt>
              </c:strCache>
            </c:strRef>
          </c:tx>
          <c:spPr>
            <a:solidFill>
              <a:schemeClr val="accent5">
                <a:shade val="44000"/>
              </a:schemeClr>
            </a:solidFill>
            <a:ln>
              <a:noFill/>
            </a:ln>
            <a:effectLst/>
          </c:spPr>
          <c:invertIfNegative val="0"/>
          <c:errBars>
            <c:errBarType val="both"/>
            <c:errValType val="cust"/>
            <c:noEndCap val="0"/>
            <c:plus>
              <c:numRef>
                <c:f>'Table 2'!$S$82:$S$92</c:f>
                <c:numCache>
                  <c:formatCode>General</c:formatCode>
                  <c:ptCount val="11"/>
                  <c:pt idx="0">
                    <c:v>1.9142207147225559E-2</c:v>
                  </c:pt>
                  <c:pt idx="1">
                    <c:v>2.1732340729151443E-2</c:v>
                  </c:pt>
                  <c:pt idx="2">
                    <c:v>1.6362711318056122E-2</c:v>
                  </c:pt>
                  <c:pt idx="3">
                    <c:v>1.6367078010226042E-2</c:v>
                  </c:pt>
                  <c:pt idx="4">
                    <c:v>1.0013217572470645E-2</c:v>
                  </c:pt>
                  <c:pt idx="5">
                    <c:v>7.3460613145727273E-3</c:v>
                  </c:pt>
                  <c:pt idx="6">
                    <c:v>1.5505294800847169E-2</c:v>
                  </c:pt>
                  <c:pt idx="7">
                    <c:v>1.4357268168249393E-2</c:v>
                  </c:pt>
                  <c:pt idx="8">
                    <c:v>4.4189526867880764E-3</c:v>
                  </c:pt>
                  <c:pt idx="9">
                    <c:v>9.8589724143554412E-3</c:v>
                  </c:pt>
                  <c:pt idx="10">
                    <c:v>4.1545531971021845E-3</c:v>
                  </c:pt>
                </c:numCache>
              </c:numRef>
            </c:plus>
            <c:minus>
              <c:numRef>
                <c:f>'Table 2'!$S$82:$S$92</c:f>
                <c:numCache>
                  <c:formatCode>General</c:formatCode>
                  <c:ptCount val="11"/>
                  <c:pt idx="0">
                    <c:v>1.9142207147225559E-2</c:v>
                  </c:pt>
                  <c:pt idx="1">
                    <c:v>2.1732340729151443E-2</c:v>
                  </c:pt>
                  <c:pt idx="2">
                    <c:v>1.6362711318056122E-2</c:v>
                  </c:pt>
                  <c:pt idx="3">
                    <c:v>1.6367078010226042E-2</c:v>
                  </c:pt>
                  <c:pt idx="4">
                    <c:v>1.0013217572470645E-2</c:v>
                  </c:pt>
                  <c:pt idx="5">
                    <c:v>7.3460613145727273E-3</c:v>
                  </c:pt>
                  <c:pt idx="6">
                    <c:v>1.5505294800847169E-2</c:v>
                  </c:pt>
                  <c:pt idx="7">
                    <c:v>1.4357268168249393E-2</c:v>
                  </c:pt>
                  <c:pt idx="8">
                    <c:v>4.4189526867880764E-3</c:v>
                  </c:pt>
                  <c:pt idx="9">
                    <c:v>9.8589724143554412E-3</c:v>
                  </c:pt>
                  <c:pt idx="10">
                    <c:v>4.1545531971021845E-3</c:v>
                  </c:pt>
                </c:numCache>
              </c:numRef>
            </c:minus>
            <c:spPr>
              <a:noFill/>
              <a:ln w="9525" cap="flat" cmpd="sng" algn="ctr">
                <a:solidFill>
                  <a:schemeClr val="tx1">
                    <a:lumMod val="65000"/>
                    <a:lumOff val="35000"/>
                  </a:schemeClr>
                </a:solidFill>
                <a:round/>
              </a:ln>
              <a:effectLst/>
            </c:spPr>
          </c:errBars>
          <c:cat>
            <c:strRef>
              <c:f>'Table 2'!$H$40:$H$51</c:f>
              <c:strCache>
                <c:ptCount val="12"/>
                <c:pt idx="0">
                  <c:v>Newfoundland</c:v>
                </c:pt>
                <c:pt idx="1">
                  <c:v>Prince Edward Island</c:v>
                </c:pt>
                <c:pt idx="2">
                  <c:v>Nova Scotia</c:v>
                </c:pt>
                <c:pt idx="3">
                  <c:v>New Brunswick</c:v>
                </c:pt>
                <c:pt idx="4">
                  <c:v>Quebec</c:v>
                </c:pt>
                <c:pt idx="5">
                  <c:v>Ontario</c:v>
                </c:pt>
                <c:pt idx="6">
                  <c:v>Manitoba</c:v>
                </c:pt>
                <c:pt idx="7">
                  <c:v>Saskatchewan</c:v>
                </c:pt>
                <c:pt idx="8">
                  <c:v>Alberta</c:v>
                </c:pt>
                <c:pt idx="9">
                  <c:v>British Columbia</c:v>
                </c:pt>
                <c:pt idx="11">
                  <c:v>All Canada</c:v>
                </c:pt>
              </c:strCache>
            </c:strRef>
          </c:cat>
          <c:val>
            <c:numRef>
              <c:f>'Table 2'!$I$40:$I$51</c:f>
              <c:numCache>
                <c:formatCode>0%</c:formatCode>
                <c:ptCount val="12"/>
                <c:pt idx="0">
                  <c:v>0.29003344162462968</c:v>
                </c:pt>
                <c:pt idx="1">
                  <c:v>0.27861975293783903</c:v>
                </c:pt>
                <c:pt idx="2">
                  <c:v>0.28211571238027794</c:v>
                </c:pt>
                <c:pt idx="3">
                  <c:v>0.26398512919719425</c:v>
                </c:pt>
                <c:pt idx="4">
                  <c:v>0.29450639919031307</c:v>
                </c:pt>
                <c:pt idx="5">
                  <c:v>0.24486871048575759</c:v>
                </c:pt>
                <c:pt idx="6">
                  <c:v>0.25008540001366403</c:v>
                </c:pt>
                <c:pt idx="7">
                  <c:v>0.27610131092787293</c:v>
                </c:pt>
                <c:pt idx="8">
                  <c:v>0.27618454292425476</c:v>
                </c:pt>
                <c:pt idx="9">
                  <c:v>0.20539525863240504</c:v>
                </c:pt>
                <c:pt idx="11">
                  <c:v>0.25965957481888652</c:v>
                </c:pt>
              </c:numCache>
            </c:numRef>
          </c:val>
          <c:extLst>
            <c:ext xmlns:c16="http://schemas.microsoft.com/office/drawing/2014/chart" uri="{C3380CC4-5D6E-409C-BE32-E72D297353CC}">
              <c16:uniqueId val="{00000000-4A31-4991-AA81-F4892C365C75}"/>
            </c:ext>
          </c:extLst>
        </c:ser>
        <c:ser>
          <c:idx val="1"/>
          <c:order val="1"/>
          <c:tx>
            <c:strRef>
              <c:f>'Table 2'!$J$39</c:f>
              <c:strCache>
                <c:ptCount val="1"/>
                <c:pt idx="0">
                  <c:v>2003</c:v>
                </c:pt>
              </c:strCache>
            </c:strRef>
          </c:tx>
          <c:spPr>
            <a:solidFill>
              <a:schemeClr val="accent5">
                <a:shade val="58000"/>
              </a:schemeClr>
            </a:solidFill>
            <a:ln>
              <a:noFill/>
            </a:ln>
            <a:effectLst/>
          </c:spPr>
          <c:invertIfNegative val="0"/>
          <c:errBars>
            <c:errBarType val="both"/>
            <c:errValType val="cust"/>
            <c:noEndCap val="0"/>
            <c:plus>
              <c:numRef>
                <c:f>'Table 2'!$T$82:$T$92</c:f>
                <c:numCache>
                  <c:formatCode>General</c:formatCode>
                  <c:ptCount val="11"/>
                  <c:pt idx="0">
                    <c:v>2.0183330797818009E-2</c:v>
                  </c:pt>
                  <c:pt idx="1">
                    <c:v>2.644745370951938E-2</c:v>
                  </c:pt>
                  <c:pt idx="2">
                    <c:v>2.0699197592778336E-2</c:v>
                  </c:pt>
                  <c:pt idx="3">
                    <c:v>1.4162545453406538E-2</c:v>
                  </c:pt>
                  <c:pt idx="4">
                    <c:v>9.2970433194672457E-3</c:v>
                  </c:pt>
                  <c:pt idx="5">
                    <c:v>6.633455391119026E-3</c:v>
                  </c:pt>
                  <c:pt idx="6">
                    <c:v>1.7221892935041547E-2</c:v>
                  </c:pt>
                  <c:pt idx="7">
                    <c:v>1.6682155889842745E-2</c:v>
                  </c:pt>
                  <c:pt idx="8">
                    <c:v>3.6581258807853439E-3</c:v>
                  </c:pt>
                  <c:pt idx="9">
                    <c:v>1.0121354741037125E-2</c:v>
                  </c:pt>
                  <c:pt idx="10">
                    <c:v>3.686110274838702E-3</c:v>
                  </c:pt>
                </c:numCache>
              </c:numRef>
            </c:plus>
            <c:minus>
              <c:numRef>
                <c:f>'Table 2'!$T$82:$T$92</c:f>
                <c:numCache>
                  <c:formatCode>General</c:formatCode>
                  <c:ptCount val="11"/>
                  <c:pt idx="0">
                    <c:v>2.0183330797818009E-2</c:v>
                  </c:pt>
                  <c:pt idx="1">
                    <c:v>2.644745370951938E-2</c:v>
                  </c:pt>
                  <c:pt idx="2">
                    <c:v>2.0699197592778336E-2</c:v>
                  </c:pt>
                  <c:pt idx="3">
                    <c:v>1.4162545453406538E-2</c:v>
                  </c:pt>
                  <c:pt idx="4">
                    <c:v>9.2970433194672457E-3</c:v>
                  </c:pt>
                  <c:pt idx="5">
                    <c:v>6.633455391119026E-3</c:v>
                  </c:pt>
                  <c:pt idx="6">
                    <c:v>1.7221892935041547E-2</c:v>
                  </c:pt>
                  <c:pt idx="7">
                    <c:v>1.6682155889842745E-2</c:v>
                  </c:pt>
                  <c:pt idx="8">
                    <c:v>3.6581258807853439E-3</c:v>
                  </c:pt>
                  <c:pt idx="9">
                    <c:v>1.0121354741037125E-2</c:v>
                  </c:pt>
                  <c:pt idx="10">
                    <c:v>3.686110274838702E-3</c:v>
                  </c:pt>
                </c:numCache>
              </c:numRef>
            </c:minus>
            <c:spPr>
              <a:noFill/>
              <a:ln w="9525" cap="flat" cmpd="sng" algn="ctr">
                <a:solidFill>
                  <a:schemeClr val="tx1">
                    <a:lumMod val="65000"/>
                    <a:lumOff val="35000"/>
                  </a:schemeClr>
                </a:solidFill>
                <a:round/>
              </a:ln>
              <a:effectLst/>
            </c:spPr>
          </c:errBars>
          <c:cat>
            <c:strRef>
              <c:f>'Table 2'!$H$40:$H$51</c:f>
              <c:strCache>
                <c:ptCount val="12"/>
                <c:pt idx="0">
                  <c:v>Newfoundland</c:v>
                </c:pt>
                <c:pt idx="1">
                  <c:v>Prince Edward Island</c:v>
                </c:pt>
                <c:pt idx="2">
                  <c:v>Nova Scotia</c:v>
                </c:pt>
                <c:pt idx="3">
                  <c:v>New Brunswick</c:v>
                </c:pt>
                <c:pt idx="4">
                  <c:v>Quebec</c:v>
                </c:pt>
                <c:pt idx="5">
                  <c:v>Ontario</c:v>
                </c:pt>
                <c:pt idx="6">
                  <c:v>Manitoba</c:v>
                </c:pt>
                <c:pt idx="7">
                  <c:v>Saskatchewan</c:v>
                </c:pt>
                <c:pt idx="8">
                  <c:v>Alberta</c:v>
                </c:pt>
                <c:pt idx="9">
                  <c:v>British Columbia</c:v>
                </c:pt>
                <c:pt idx="11">
                  <c:v>All Canada</c:v>
                </c:pt>
              </c:strCache>
            </c:strRef>
          </c:cat>
          <c:val>
            <c:numRef>
              <c:f>'Table 2'!$J$40:$J$51</c:f>
              <c:numCache>
                <c:formatCode>0%</c:formatCode>
                <c:ptCount val="12"/>
                <c:pt idx="0">
                  <c:v>0.24027774759307152</c:v>
                </c:pt>
                <c:pt idx="1">
                  <c:v>0.2361379795492802</c:v>
                </c:pt>
                <c:pt idx="2">
                  <c:v>0.23521815446339017</c:v>
                </c:pt>
                <c:pt idx="3">
                  <c:v>0.25290259738225962</c:v>
                </c:pt>
                <c:pt idx="4">
                  <c:v>0.25825120331853463</c:v>
                </c:pt>
                <c:pt idx="5">
                  <c:v>0.22111517970396755</c:v>
                </c:pt>
                <c:pt idx="6">
                  <c:v>0.22660385440844141</c:v>
                </c:pt>
                <c:pt idx="7">
                  <c:v>0.23831651271203921</c:v>
                </c:pt>
                <c:pt idx="8">
                  <c:v>0.22863286754908399</c:v>
                </c:pt>
                <c:pt idx="9">
                  <c:v>0.18743249520439118</c:v>
                </c:pt>
                <c:pt idx="11">
                  <c:v>0.23038189217741886</c:v>
                </c:pt>
              </c:numCache>
            </c:numRef>
          </c:val>
          <c:extLst>
            <c:ext xmlns:c16="http://schemas.microsoft.com/office/drawing/2014/chart" uri="{C3380CC4-5D6E-409C-BE32-E72D297353CC}">
              <c16:uniqueId val="{00000001-4A31-4991-AA81-F4892C365C75}"/>
            </c:ext>
          </c:extLst>
        </c:ser>
        <c:ser>
          <c:idx val="2"/>
          <c:order val="2"/>
          <c:tx>
            <c:strRef>
              <c:f>'Table 2'!$K$39</c:f>
              <c:strCache>
                <c:ptCount val="1"/>
                <c:pt idx="0">
                  <c:v>2005</c:v>
                </c:pt>
              </c:strCache>
            </c:strRef>
          </c:tx>
          <c:spPr>
            <a:solidFill>
              <a:schemeClr val="accent5">
                <a:shade val="72000"/>
              </a:schemeClr>
            </a:solidFill>
            <a:ln>
              <a:noFill/>
            </a:ln>
            <a:effectLst/>
          </c:spPr>
          <c:invertIfNegative val="0"/>
          <c:errBars>
            <c:errBarType val="both"/>
            <c:errValType val="cust"/>
            <c:noEndCap val="0"/>
            <c:plus>
              <c:numRef>
                <c:f>'Table 2'!$U$82:$U$92</c:f>
                <c:numCache>
                  <c:formatCode>General</c:formatCode>
                  <c:ptCount val="11"/>
                  <c:pt idx="0">
                    <c:v>1.8477580813347237E-2</c:v>
                  </c:pt>
                  <c:pt idx="1">
                    <c:v>2.5260553129548766E-2</c:v>
                  </c:pt>
                  <c:pt idx="2">
                    <c:v>1.8108582448161711E-2</c:v>
                  </c:pt>
                  <c:pt idx="3">
                    <c:v>1.7093004089434843E-2</c:v>
                  </c:pt>
                  <c:pt idx="4">
                    <c:v>8.7744689851716601E-3</c:v>
                  </c:pt>
                  <c:pt idx="5">
                    <c:v>6.2077557436673115E-3</c:v>
                  </c:pt>
                  <c:pt idx="6">
                    <c:v>1.7131746744499327E-2</c:v>
                  </c:pt>
                  <c:pt idx="7">
                    <c:v>1.2870588145688304E-2</c:v>
                  </c:pt>
                  <c:pt idx="8">
                    <c:v>1.0009376353020844E-2</c:v>
                  </c:pt>
                  <c:pt idx="9">
                    <c:v>9.2300738795699985E-3</c:v>
                  </c:pt>
                  <c:pt idx="10">
                    <c:v>3.9198300405311115E-3</c:v>
                  </c:pt>
                </c:numCache>
              </c:numRef>
            </c:plus>
            <c:minus>
              <c:numRef>
                <c:f>'Table 2'!$U$82:$U$92</c:f>
                <c:numCache>
                  <c:formatCode>General</c:formatCode>
                  <c:ptCount val="11"/>
                  <c:pt idx="0">
                    <c:v>1.8477580813347237E-2</c:v>
                  </c:pt>
                  <c:pt idx="1">
                    <c:v>2.5260553129548766E-2</c:v>
                  </c:pt>
                  <c:pt idx="2">
                    <c:v>1.8108582448161711E-2</c:v>
                  </c:pt>
                  <c:pt idx="3">
                    <c:v>1.7093004089434843E-2</c:v>
                  </c:pt>
                  <c:pt idx="4">
                    <c:v>8.7744689851716601E-3</c:v>
                  </c:pt>
                  <c:pt idx="5">
                    <c:v>6.2077557436673115E-3</c:v>
                  </c:pt>
                  <c:pt idx="6">
                    <c:v>1.7131746744499327E-2</c:v>
                  </c:pt>
                  <c:pt idx="7">
                    <c:v>1.2870588145688304E-2</c:v>
                  </c:pt>
                  <c:pt idx="8">
                    <c:v>1.0009376353020844E-2</c:v>
                  </c:pt>
                  <c:pt idx="9">
                    <c:v>9.2300738795699985E-3</c:v>
                  </c:pt>
                  <c:pt idx="10">
                    <c:v>3.9198300405311115E-3</c:v>
                  </c:pt>
                </c:numCache>
              </c:numRef>
            </c:minus>
            <c:spPr>
              <a:noFill/>
              <a:ln w="9525" cap="flat" cmpd="sng" algn="ctr">
                <a:solidFill>
                  <a:schemeClr val="tx1">
                    <a:lumMod val="65000"/>
                    <a:lumOff val="35000"/>
                  </a:schemeClr>
                </a:solidFill>
                <a:round/>
              </a:ln>
              <a:effectLst/>
            </c:spPr>
          </c:errBars>
          <c:cat>
            <c:strRef>
              <c:f>'Table 2'!$H$40:$H$51</c:f>
              <c:strCache>
                <c:ptCount val="12"/>
                <c:pt idx="0">
                  <c:v>Newfoundland</c:v>
                </c:pt>
                <c:pt idx="1">
                  <c:v>Prince Edward Island</c:v>
                </c:pt>
                <c:pt idx="2">
                  <c:v>Nova Scotia</c:v>
                </c:pt>
                <c:pt idx="3">
                  <c:v>New Brunswick</c:v>
                </c:pt>
                <c:pt idx="4">
                  <c:v>Quebec</c:v>
                </c:pt>
                <c:pt idx="5">
                  <c:v>Ontario</c:v>
                </c:pt>
                <c:pt idx="6">
                  <c:v>Manitoba</c:v>
                </c:pt>
                <c:pt idx="7">
                  <c:v>Saskatchewan</c:v>
                </c:pt>
                <c:pt idx="8">
                  <c:v>Alberta</c:v>
                </c:pt>
                <c:pt idx="9">
                  <c:v>British Columbia</c:v>
                </c:pt>
                <c:pt idx="11">
                  <c:v>All Canada</c:v>
                </c:pt>
              </c:strCache>
            </c:strRef>
          </c:cat>
          <c:val>
            <c:numRef>
              <c:f>'Table 2'!$K$40:$K$51</c:f>
              <c:numCache>
                <c:formatCode>0%</c:formatCode>
                <c:ptCount val="12"/>
                <c:pt idx="0">
                  <c:v>0.23096976016684045</c:v>
                </c:pt>
                <c:pt idx="1">
                  <c:v>0.2215837993820067</c:v>
                </c:pt>
                <c:pt idx="2">
                  <c:v>0.2263572806020214</c:v>
                </c:pt>
                <c:pt idx="3">
                  <c:v>0.2249079485451953</c:v>
                </c:pt>
                <c:pt idx="4">
                  <c:v>0.24373524958810169</c:v>
                </c:pt>
                <c:pt idx="5">
                  <c:v>0.20692519145557706</c:v>
                </c:pt>
                <c:pt idx="6">
                  <c:v>0.20394936600594435</c:v>
                </c:pt>
                <c:pt idx="7">
                  <c:v>0.23834422492015375</c:v>
                </c:pt>
                <c:pt idx="8">
                  <c:v>0.2274858262050192</c:v>
                </c:pt>
                <c:pt idx="9">
                  <c:v>0.17750142076096151</c:v>
                </c:pt>
                <c:pt idx="11">
                  <c:v>0.21776833558506176</c:v>
                </c:pt>
              </c:numCache>
            </c:numRef>
          </c:val>
          <c:extLst>
            <c:ext xmlns:c16="http://schemas.microsoft.com/office/drawing/2014/chart" uri="{C3380CC4-5D6E-409C-BE32-E72D297353CC}">
              <c16:uniqueId val="{00000003-4A31-4991-AA81-F4892C365C75}"/>
            </c:ext>
          </c:extLst>
        </c:ser>
        <c:ser>
          <c:idx val="3"/>
          <c:order val="3"/>
          <c:tx>
            <c:strRef>
              <c:f>'Table 2'!$L$39</c:f>
              <c:strCache>
                <c:ptCount val="1"/>
                <c:pt idx="0">
                  <c:v>2007- 2008</c:v>
                </c:pt>
              </c:strCache>
            </c:strRef>
          </c:tx>
          <c:spPr>
            <a:solidFill>
              <a:schemeClr val="accent5">
                <a:shade val="86000"/>
              </a:schemeClr>
            </a:solidFill>
            <a:ln>
              <a:noFill/>
            </a:ln>
            <a:effectLst/>
          </c:spPr>
          <c:invertIfNegative val="0"/>
          <c:errBars>
            <c:errBarType val="both"/>
            <c:errValType val="cust"/>
            <c:noEndCap val="0"/>
            <c:plus>
              <c:numRef>
                <c:f>'Table 2'!$V$82:$V$92</c:f>
                <c:numCache>
                  <c:formatCode>General</c:formatCode>
                  <c:ptCount val="11"/>
                  <c:pt idx="0">
                    <c:v>1.8910212969739684E-2</c:v>
                  </c:pt>
                  <c:pt idx="1">
                    <c:v>2.1642241415419153E-2</c:v>
                  </c:pt>
                  <c:pt idx="2">
                    <c:v>1.8218714836616603E-2</c:v>
                  </c:pt>
                  <c:pt idx="3">
                    <c:v>1.632450945104327E-2</c:v>
                  </c:pt>
                  <c:pt idx="4">
                    <c:v>7.2486655330138497E-3</c:v>
                  </c:pt>
                  <c:pt idx="5">
                    <c:v>6.4643738706113884E-3</c:v>
                  </c:pt>
                  <c:pt idx="6">
                    <c:v>1.675306580883669E-2</c:v>
                  </c:pt>
                  <c:pt idx="7">
                    <c:v>1.3303200428029934E-2</c:v>
                  </c:pt>
                  <c:pt idx="8">
                    <c:v>1.3349758180173879E-2</c:v>
                  </c:pt>
                  <c:pt idx="9">
                    <c:v>1.0550618912194618E-2</c:v>
                  </c:pt>
                  <c:pt idx="10">
                    <c:v>3.9130598657721579E-3</c:v>
                  </c:pt>
                </c:numCache>
              </c:numRef>
            </c:plus>
            <c:minus>
              <c:numRef>
                <c:f>'Table 2'!$V$82:$V$92</c:f>
                <c:numCache>
                  <c:formatCode>General</c:formatCode>
                  <c:ptCount val="11"/>
                  <c:pt idx="0">
                    <c:v>1.8910212969739684E-2</c:v>
                  </c:pt>
                  <c:pt idx="1">
                    <c:v>2.1642241415419153E-2</c:v>
                  </c:pt>
                  <c:pt idx="2">
                    <c:v>1.8218714836616603E-2</c:v>
                  </c:pt>
                  <c:pt idx="3">
                    <c:v>1.632450945104327E-2</c:v>
                  </c:pt>
                  <c:pt idx="4">
                    <c:v>7.2486655330138497E-3</c:v>
                  </c:pt>
                  <c:pt idx="5">
                    <c:v>6.4643738706113884E-3</c:v>
                  </c:pt>
                  <c:pt idx="6">
                    <c:v>1.675306580883669E-2</c:v>
                  </c:pt>
                  <c:pt idx="7">
                    <c:v>1.3303200428029934E-2</c:v>
                  </c:pt>
                  <c:pt idx="8">
                    <c:v>1.3349758180173879E-2</c:v>
                  </c:pt>
                  <c:pt idx="9">
                    <c:v>1.0550618912194618E-2</c:v>
                  </c:pt>
                  <c:pt idx="10">
                    <c:v>3.9130598657721579E-3</c:v>
                  </c:pt>
                </c:numCache>
              </c:numRef>
            </c:minus>
            <c:spPr>
              <a:noFill/>
              <a:ln w="9525" cap="flat" cmpd="sng" algn="ctr">
                <a:solidFill>
                  <a:schemeClr val="tx1">
                    <a:lumMod val="65000"/>
                    <a:lumOff val="35000"/>
                  </a:schemeClr>
                </a:solidFill>
                <a:round/>
              </a:ln>
              <a:effectLst/>
            </c:spPr>
          </c:errBars>
          <c:cat>
            <c:strRef>
              <c:f>'Table 2'!$H$40:$H$51</c:f>
              <c:strCache>
                <c:ptCount val="12"/>
                <c:pt idx="0">
                  <c:v>Newfoundland</c:v>
                </c:pt>
                <c:pt idx="1">
                  <c:v>Prince Edward Island</c:v>
                </c:pt>
                <c:pt idx="2">
                  <c:v>Nova Scotia</c:v>
                </c:pt>
                <c:pt idx="3">
                  <c:v>New Brunswick</c:v>
                </c:pt>
                <c:pt idx="4">
                  <c:v>Quebec</c:v>
                </c:pt>
                <c:pt idx="5">
                  <c:v>Ontario</c:v>
                </c:pt>
                <c:pt idx="6">
                  <c:v>Manitoba</c:v>
                </c:pt>
                <c:pt idx="7">
                  <c:v>Saskatchewan</c:v>
                </c:pt>
                <c:pt idx="8">
                  <c:v>Alberta</c:v>
                </c:pt>
                <c:pt idx="9">
                  <c:v>British Columbia</c:v>
                </c:pt>
                <c:pt idx="11">
                  <c:v>All Canada</c:v>
                </c:pt>
              </c:strCache>
            </c:strRef>
          </c:cat>
          <c:val>
            <c:numRef>
              <c:f>'Table 2'!$L$40:$L$51</c:f>
              <c:numCache>
                <c:formatCode>0%</c:formatCode>
                <c:ptCount val="12"/>
                <c:pt idx="0">
                  <c:v>0.24881859170710111</c:v>
                </c:pt>
                <c:pt idx="1">
                  <c:v>0.21217883740607016</c:v>
                </c:pt>
                <c:pt idx="2">
                  <c:v>0.23971993206074479</c:v>
                </c:pt>
                <c:pt idx="3">
                  <c:v>0.2332072778720467</c:v>
                </c:pt>
                <c:pt idx="4">
                  <c:v>0.24162218443379499</c:v>
                </c:pt>
                <c:pt idx="5">
                  <c:v>0.20201168345660586</c:v>
                </c:pt>
                <c:pt idx="6">
                  <c:v>0.23268146956717622</c:v>
                </c:pt>
                <c:pt idx="7">
                  <c:v>0.25583077746211408</c:v>
                </c:pt>
                <c:pt idx="8">
                  <c:v>0.22249596966956464</c:v>
                </c:pt>
                <c:pt idx="9">
                  <c:v>0.18190722262404513</c:v>
                </c:pt>
                <c:pt idx="11">
                  <c:v>0.21739221476511991</c:v>
                </c:pt>
              </c:numCache>
            </c:numRef>
          </c:val>
          <c:extLst>
            <c:ext xmlns:c16="http://schemas.microsoft.com/office/drawing/2014/chart" uri="{C3380CC4-5D6E-409C-BE32-E72D297353CC}">
              <c16:uniqueId val="{00000004-4A31-4991-AA81-F4892C365C75}"/>
            </c:ext>
          </c:extLst>
        </c:ser>
        <c:ser>
          <c:idx val="4"/>
          <c:order val="4"/>
          <c:tx>
            <c:strRef>
              <c:f>'Table 2'!$M$39</c:f>
              <c:strCache>
                <c:ptCount val="1"/>
                <c:pt idx="0">
                  <c:v>2009- 2010</c:v>
                </c:pt>
              </c:strCache>
            </c:strRef>
          </c:tx>
          <c:spPr>
            <a:solidFill>
              <a:schemeClr val="accent5"/>
            </a:solidFill>
            <a:ln>
              <a:noFill/>
            </a:ln>
            <a:effectLst/>
          </c:spPr>
          <c:invertIfNegative val="0"/>
          <c:errBars>
            <c:errBarType val="both"/>
            <c:errValType val="cust"/>
            <c:noEndCap val="0"/>
            <c:plus>
              <c:numRef>
                <c:f>'Table 2'!$W$82:$W$92</c:f>
                <c:numCache>
                  <c:formatCode>General</c:formatCode>
                  <c:ptCount val="11"/>
                  <c:pt idx="0">
                    <c:v>1.8924167508701021E-2</c:v>
                  </c:pt>
                  <c:pt idx="1">
                    <c:v>2.5341547245031047E-2</c:v>
                  </c:pt>
                  <c:pt idx="2">
                    <c:v>1.9457293240919278E-2</c:v>
                  </c:pt>
                  <c:pt idx="3">
                    <c:v>1.546571919728058E-2</c:v>
                  </c:pt>
                  <c:pt idx="4">
                    <c:v>7.7598937441353179E-3</c:v>
                  </c:pt>
                  <c:pt idx="5">
                    <c:v>4.8915780581019024E-3</c:v>
                  </c:pt>
                  <c:pt idx="6">
                    <c:v>1.9522627524949977E-2</c:v>
                  </c:pt>
                  <c:pt idx="7">
                    <c:v>1.7249715370018976E-2</c:v>
                  </c:pt>
                  <c:pt idx="8">
                    <c:v>1.2381808160540747E-2</c:v>
                  </c:pt>
                  <c:pt idx="9">
                    <c:v>1.1024392211996081E-2</c:v>
                  </c:pt>
                  <c:pt idx="10">
                    <c:v>4.4998050431588202E-3</c:v>
                  </c:pt>
                </c:numCache>
              </c:numRef>
            </c:plus>
            <c:minus>
              <c:numRef>
                <c:f>'Table 2'!$W$82:$W$92</c:f>
                <c:numCache>
                  <c:formatCode>General</c:formatCode>
                  <c:ptCount val="11"/>
                  <c:pt idx="0">
                    <c:v>1.8924167508701021E-2</c:v>
                  </c:pt>
                  <c:pt idx="1">
                    <c:v>2.5341547245031047E-2</c:v>
                  </c:pt>
                  <c:pt idx="2">
                    <c:v>1.9457293240919278E-2</c:v>
                  </c:pt>
                  <c:pt idx="3">
                    <c:v>1.546571919728058E-2</c:v>
                  </c:pt>
                  <c:pt idx="4">
                    <c:v>7.7598937441353179E-3</c:v>
                  </c:pt>
                  <c:pt idx="5">
                    <c:v>4.8915780581019024E-3</c:v>
                  </c:pt>
                  <c:pt idx="6">
                    <c:v>1.9522627524949977E-2</c:v>
                  </c:pt>
                  <c:pt idx="7">
                    <c:v>1.7249715370018976E-2</c:v>
                  </c:pt>
                  <c:pt idx="8">
                    <c:v>1.2381808160540747E-2</c:v>
                  </c:pt>
                  <c:pt idx="9">
                    <c:v>1.1024392211996081E-2</c:v>
                  </c:pt>
                  <c:pt idx="10">
                    <c:v>4.4998050431588202E-3</c:v>
                  </c:pt>
                </c:numCache>
              </c:numRef>
            </c:minus>
            <c:spPr>
              <a:noFill/>
              <a:ln w="9525" cap="flat" cmpd="sng" algn="ctr">
                <a:solidFill>
                  <a:schemeClr val="tx1">
                    <a:lumMod val="65000"/>
                    <a:lumOff val="35000"/>
                  </a:schemeClr>
                </a:solidFill>
                <a:round/>
              </a:ln>
              <a:effectLst/>
            </c:spPr>
          </c:errBars>
          <c:cat>
            <c:strRef>
              <c:f>'Table 2'!$H$40:$H$51</c:f>
              <c:strCache>
                <c:ptCount val="12"/>
                <c:pt idx="0">
                  <c:v>Newfoundland</c:v>
                </c:pt>
                <c:pt idx="1">
                  <c:v>Prince Edward Island</c:v>
                </c:pt>
                <c:pt idx="2">
                  <c:v>Nova Scotia</c:v>
                </c:pt>
                <c:pt idx="3">
                  <c:v>New Brunswick</c:v>
                </c:pt>
                <c:pt idx="4">
                  <c:v>Quebec</c:v>
                </c:pt>
                <c:pt idx="5">
                  <c:v>Ontario</c:v>
                </c:pt>
                <c:pt idx="6">
                  <c:v>Manitoba</c:v>
                </c:pt>
                <c:pt idx="7">
                  <c:v>Saskatchewan</c:v>
                </c:pt>
                <c:pt idx="8">
                  <c:v>Alberta</c:v>
                </c:pt>
                <c:pt idx="9">
                  <c:v>British Columbia</c:v>
                </c:pt>
                <c:pt idx="11">
                  <c:v>All Canada</c:v>
                </c:pt>
              </c:strCache>
            </c:strRef>
          </c:cat>
          <c:val>
            <c:numRef>
              <c:f>'Table 2'!$M$40:$M$51</c:f>
              <c:numCache>
                <c:formatCode>0%</c:formatCode>
                <c:ptCount val="12"/>
                <c:pt idx="0">
                  <c:v>0.2307825305939149</c:v>
                </c:pt>
                <c:pt idx="1">
                  <c:v>0.21846161418130214</c:v>
                </c:pt>
                <c:pt idx="2">
                  <c:v>0.2316344433442771</c:v>
                </c:pt>
                <c:pt idx="3">
                  <c:v>0.22093884567543687</c:v>
                </c:pt>
                <c:pt idx="4">
                  <c:v>0.22823216894515641</c:v>
                </c:pt>
                <c:pt idx="5">
                  <c:v>0.18813761761930392</c:v>
                </c:pt>
                <c:pt idx="6">
                  <c:v>0.19522627524949976</c:v>
                </c:pt>
                <c:pt idx="7">
                  <c:v>0.22115019705152533</c:v>
                </c:pt>
                <c:pt idx="8">
                  <c:v>0.2292927437137175</c:v>
                </c:pt>
                <c:pt idx="9">
                  <c:v>0.16703624563630429</c:v>
                </c:pt>
                <c:pt idx="11">
                  <c:v>0.20453659287085546</c:v>
                </c:pt>
              </c:numCache>
            </c:numRef>
          </c:val>
          <c:extLst>
            <c:ext xmlns:c16="http://schemas.microsoft.com/office/drawing/2014/chart" uri="{C3380CC4-5D6E-409C-BE32-E72D297353CC}">
              <c16:uniqueId val="{00000005-4A31-4991-AA81-F4892C365C75}"/>
            </c:ext>
          </c:extLst>
        </c:ser>
        <c:ser>
          <c:idx val="5"/>
          <c:order val="5"/>
          <c:tx>
            <c:strRef>
              <c:f>'Table 2'!$N$39</c:f>
              <c:strCache>
                <c:ptCount val="1"/>
                <c:pt idx="0">
                  <c:v>2011- 2012</c:v>
                </c:pt>
              </c:strCache>
            </c:strRef>
          </c:tx>
          <c:spPr>
            <a:solidFill>
              <a:schemeClr val="accent5">
                <a:tint val="86000"/>
              </a:schemeClr>
            </a:solidFill>
            <a:ln>
              <a:noFill/>
            </a:ln>
            <a:effectLst/>
          </c:spPr>
          <c:invertIfNegative val="0"/>
          <c:errBars>
            <c:errBarType val="both"/>
            <c:errValType val="cust"/>
            <c:noEndCap val="0"/>
            <c:plus>
              <c:numRef>
                <c:f>'Table 2'!$X$82:$X$92</c:f>
                <c:numCache>
                  <c:formatCode>General</c:formatCode>
                  <c:ptCount val="11"/>
                  <c:pt idx="0">
                    <c:v>2.0869829314219768E-2</c:v>
                  </c:pt>
                  <c:pt idx="1">
                    <c:v>2.8285865113898127E-2</c:v>
                  </c:pt>
                  <c:pt idx="2">
                    <c:v>1.7739907220967615E-2</c:v>
                  </c:pt>
                  <c:pt idx="3">
                    <c:v>1.7196183292663415E-2</c:v>
                  </c:pt>
                  <c:pt idx="4">
                    <c:v>9.3722863511348439E-3</c:v>
                  </c:pt>
                  <c:pt idx="5">
                    <c:v>5.6948022596995593E-3</c:v>
                  </c:pt>
                  <c:pt idx="6">
                    <c:v>2.0323619370180727E-2</c:v>
                  </c:pt>
                  <c:pt idx="7">
                    <c:v>1.3495255135174926E-2</c:v>
                  </c:pt>
                  <c:pt idx="8">
                    <c:v>1.5949310065422054E-2</c:v>
                  </c:pt>
                  <c:pt idx="9">
                    <c:v>1.115347702941852E-2</c:v>
                  </c:pt>
                  <c:pt idx="10">
                    <c:v>4.8167272425739018E-3</c:v>
                  </c:pt>
                </c:numCache>
              </c:numRef>
            </c:plus>
            <c:minus>
              <c:numRef>
                <c:f>'Table 2'!$X$82:$X$92</c:f>
                <c:numCache>
                  <c:formatCode>General</c:formatCode>
                  <c:ptCount val="11"/>
                  <c:pt idx="0">
                    <c:v>2.0869829314219768E-2</c:v>
                  </c:pt>
                  <c:pt idx="1">
                    <c:v>2.8285865113898127E-2</c:v>
                  </c:pt>
                  <c:pt idx="2">
                    <c:v>1.7739907220967615E-2</c:v>
                  </c:pt>
                  <c:pt idx="3">
                    <c:v>1.7196183292663415E-2</c:v>
                  </c:pt>
                  <c:pt idx="4">
                    <c:v>9.3722863511348439E-3</c:v>
                  </c:pt>
                  <c:pt idx="5">
                    <c:v>5.6948022596995593E-3</c:v>
                  </c:pt>
                  <c:pt idx="6">
                    <c:v>2.0323619370180727E-2</c:v>
                  </c:pt>
                  <c:pt idx="7">
                    <c:v>1.3495255135174926E-2</c:v>
                  </c:pt>
                  <c:pt idx="8">
                    <c:v>1.5949310065422054E-2</c:v>
                  </c:pt>
                  <c:pt idx="9">
                    <c:v>1.115347702941852E-2</c:v>
                  </c:pt>
                  <c:pt idx="10">
                    <c:v>4.8167272425739018E-3</c:v>
                  </c:pt>
                </c:numCache>
              </c:numRef>
            </c:minus>
            <c:spPr>
              <a:noFill/>
              <a:ln w="9525" cap="flat" cmpd="sng" algn="ctr">
                <a:solidFill>
                  <a:schemeClr val="tx1">
                    <a:lumMod val="65000"/>
                    <a:lumOff val="35000"/>
                  </a:schemeClr>
                </a:solidFill>
                <a:round/>
              </a:ln>
              <a:effectLst/>
            </c:spPr>
          </c:errBars>
          <c:cat>
            <c:strRef>
              <c:f>'Table 2'!$H$40:$H$51</c:f>
              <c:strCache>
                <c:ptCount val="12"/>
                <c:pt idx="0">
                  <c:v>Newfoundland</c:v>
                </c:pt>
                <c:pt idx="1">
                  <c:v>Prince Edward Island</c:v>
                </c:pt>
                <c:pt idx="2">
                  <c:v>Nova Scotia</c:v>
                </c:pt>
                <c:pt idx="3">
                  <c:v>New Brunswick</c:v>
                </c:pt>
                <c:pt idx="4">
                  <c:v>Quebec</c:v>
                </c:pt>
                <c:pt idx="5">
                  <c:v>Ontario</c:v>
                </c:pt>
                <c:pt idx="6">
                  <c:v>Manitoba</c:v>
                </c:pt>
                <c:pt idx="7">
                  <c:v>Saskatchewan</c:v>
                </c:pt>
                <c:pt idx="8">
                  <c:v>Alberta</c:v>
                </c:pt>
                <c:pt idx="9">
                  <c:v>British Columbia</c:v>
                </c:pt>
                <c:pt idx="11">
                  <c:v>All Canada</c:v>
                </c:pt>
              </c:strCache>
            </c:strRef>
          </c:cat>
          <c:val>
            <c:numRef>
              <c:f>'Table 2'!$N$40:$N$51</c:f>
              <c:numCache>
                <c:formatCode>0%</c:formatCode>
                <c:ptCount val="12"/>
                <c:pt idx="0">
                  <c:v>0.23188699238021962</c:v>
                </c:pt>
                <c:pt idx="1">
                  <c:v>0.21428685692347069</c:v>
                </c:pt>
                <c:pt idx="2">
                  <c:v>0.22743470796112328</c:v>
                </c:pt>
                <c:pt idx="3">
                  <c:v>0.22626556964030811</c:v>
                </c:pt>
                <c:pt idx="4">
                  <c:v>0.22314967502702007</c:v>
                </c:pt>
                <c:pt idx="5">
                  <c:v>0.18982674198998531</c:v>
                </c:pt>
                <c:pt idx="6">
                  <c:v>0.19925117029588951</c:v>
                </c:pt>
                <c:pt idx="7">
                  <c:v>0.21766540540604717</c:v>
                </c:pt>
                <c:pt idx="8">
                  <c:v>0.21553121710029802</c:v>
                </c:pt>
                <c:pt idx="9">
                  <c:v>0.1507226625597097</c:v>
                </c:pt>
                <c:pt idx="11">
                  <c:v>0.20069696844057927</c:v>
                </c:pt>
              </c:numCache>
            </c:numRef>
          </c:val>
          <c:extLst>
            <c:ext xmlns:c16="http://schemas.microsoft.com/office/drawing/2014/chart" uri="{C3380CC4-5D6E-409C-BE32-E72D297353CC}">
              <c16:uniqueId val="{00000006-4A31-4991-AA81-F4892C365C75}"/>
            </c:ext>
          </c:extLst>
        </c:ser>
        <c:ser>
          <c:idx val="6"/>
          <c:order val="6"/>
          <c:tx>
            <c:strRef>
              <c:f>'Table 2'!$O$39</c:f>
              <c:strCache>
                <c:ptCount val="1"/>
                <c:pt idx="0">
                  <c:v>2013-2014</c:v>
                </c:pt>
              </c:strCache>
            </c:strRef>
          </c:tx>
          <c:spPr>
            <a:solidFill>
              <a:schemeClr val="accent5">
                <a:tint val="72000"/>
              </a:schemeClr>
            </a:solidFill>
            <a:ln>
              <a:noFill/>
            </a:ln>
            <a:effectLst/>
          </c:spPr>
          <c:invertIfNegative val="0"/>
          <c:errBars>
            <c:errBarType val="both"/>
            <c:errValType val="cust"/>
            <c:noEndCap val="0"/>
            <c:plus>
              <c:numRef>
                <c:f>'Table 2'!$Y$82:$Y$92</c:f>
                <c:numCache>
                  <c:formatCode>General</c:formatCode>
                  <c:ptCount val="11"/>
                  <c:pt idx="0">
                    <c:v>1.9122893014765194E-2</c:v>
                  </c:pt>
                  <c:pt idx="1">
                    <c:v>2.4055958532720773E-2</c:v>
                  </c:pt>
                  <c:pt idx="2">
                    <c:v>1.5576432071285985E-2</c:v>
                  </c:pt>
                  <c:pt idx="3">
                    <c:v>1.5262679510557068E-2</c:v>
                  </c:pt>
                  <c:pt idx="4">
                    <c:v>8.5755678878850824E-3</c:v>
                  </c:pt>
                  <c:pt idx="5">
                    <c:v>5.610080984493131E-3</c:v>
                  </c:pt>
                  <c:pt idx="6">
                    <c:v>1.3116959667150666E-2</c:v>
                  </c:pt>
                  <c:pt idx="7">
                    <c:v>1.5088396572184349E-2</c:v>
                  </c:pt>
                  <c:pt idx="8">
                    <c:v>1.4895337453999784E-2</c:v>
                  </c:pt>
                  <c:pt idx="9">
                    <c:v>9.11615924234465E-3</c:v>
                  </c:pt>
                  <c:pt idx="10">
                    <c:v>4.4841359155961069E-3</c:v>
                  </c:pt>
                </c:numCache>
              </c:numRef>
            </c:plus>
            <c:minus>
              <c:numRef>
                <c:f>'Table 2'!$Y$82:$Y$92</c:f>
                <c:numCache>
                  <c:formatCode>General</c:formatCode>
                  <c:ptCount val="11"/>
                  <c:pt idx="0">
                    <c:v>1.9122893014765194E-2</c:v>
                  </c:pt>
                  <c:pt idx="1">
                    <c:v>2.4055958532720773E-2</c:v>
                  </c:pt>
                  <c:pt idx="2">
                    <c:v>1.5576432071285985E-2</c:v>
                  </c:pt>
                  <c:pt idx="3">
                    <c:v>1.5262679510557068E-2</c:v>
                  </c:pt>
                  <c:pt idx="4">
                    <c:v>8.5755678878850824E-3</c:v>
                  </c:pt>
                  <c:pt idx="5">
                    <c:v>5.610080984493131E-3</c:v>
                  </c:pt>
                  <c:pt idx="6">
                    <c:v>1.3116959667150666E-2</c:v>
                  </c:pt>
                  <c:pt idx="7">
                    <c:v>1.5088396572184349E-2</c:v>
                  </c:pt>
                  <c:pt idx="8">
                    <c:v>1.4895337453999784E-2</c:v>
                  </c:pt>
                  <c:pt idx="9">
                    <c:v>9.11615924234465E-3</c:v>
                  </c:pt>
                  <c:pt idx="10">
                    <c:v>4.4841359155961069E-3</c:v>
                  </c:pt>
                </c:numCache>
              </c:numRef>
            </c:minus>
            <c:spPr>
              <a:noFill/>
              <a:ln w="9525" cap="flat" cmpd="sng" algn="ctr">
                <a:solidFill>
                  <a:schemeClr val="tx1">
                    <a:lumMod val="65000"/>
                    <a:lumOff val="35000"/>
                  </a:schemeClr>
                </a:solidFill>
                <a:round/>
              </a:ln>
              <a:effectLst/>
            </c:spPr>
          </c:errBars>
          <c:cat>
            <c:strRef>
              <c:f>'Table 2'!$H$40:$H$51</c:f>
              <c:strCache>
                <c:ptCount val="12"/>
                <c:pt idx="0">
                  <c:v>Newfoundland</c:v>
                </c:pt>
                <c:pt idx="1">
                  <c:v>Prince Edward Island</c:v>
                </c:pt>
                <c:pt idx="2">
                  <c:v>Nova Scotia</c:v>
                </c:pt>
                <c:pt idx="3">
                  <c:v>New Brunswick</c:v>
                </c:pt>
                <c:pt idx="4">
                  <c:v>Quebec</c:v>
                </c:pt>
                <c:pt idx="5">
                  <c:v>Ontario</c:v>
                </c:pt>
                <c:pt idx="6">
                  <c:v>Manitoba</c:v>
                </c:pt>
                <c:pt idx="7">
                  <c:v>Saskatchewan</c:v>
                </c:pt>
                <c:pt idx="8">
                  <c:v>Alberta</c:v>
                </c:pt>
                <c:pt idx="9">
                  <c:v>British Columbia</c:v>
                </c:pt>
                <c:pt idx="11">
                  <c:v>All Canada</c:v>
                </c:pt>
              </c:strCache>
            </c:strRef>
          </c:cat>
          <c:val>
            <c:numRef>
              <c:f>'Table 2'!$O$40:$O$51</c:f>
              <c:numCache>
                <c:formatCode>0%</c:formatCode>
                <c:ptCount val="12"/>
                <c:pt idx="0">
                  <c:v>0.20785753276918692</c:v>
                </c:pt>
                <c:pt idx="1">
                  <c:v>0.19399966558645784</c:v>
                </c:pt>
                <c:pt idx="2">
                  <c:v>0.21633933432341645</c:v>
                </c:pt>
                <c:pt idx="3">
                  <c:v>0.21198165986884818</c:v>
                </c:pt>
                <c:pt idx="4">
                  <c:v>0.20418018780678768</c:v>
                </c:pt>
                <c:pt idx="5">
                  <c:v>0.17531503076541033</c:v>
                </c:pt>
                <c:pt idx="6">
                  <c:v>0.17725621171825223</c:v>
                </c:pt>
                <c:pt idx="7">
                  <c:v>0.2155485224597764</c:v>
                </c:pt>
                <c:pt idx="8">
                  <c:v>0.19599128228947085</c:v>
                </c:pt>
                <c:pt idx="9">
                  <c:v>0.15193598737241082</c:v>
                </c:pt>
                <c:pt idx="11">
                  <c:v>0.18683899648317112</c:v>
                </c:pt>
              </c:numCache>
            </c:numRef>
          </c:val>
          <c:extLst>
            <c:ext xmlns:c16="http://schemas.microsoft.com/office/drawing/2014/chart" uri="{C3380CC4-5D6E-409C-BE32-E72D297353CC}">
              <c16:uniqueId val="{00000007-4A31-4991-AA81-F4892C365C75}"/>
            </c:ext>
          </c:extLst>
        </c:ser>
        <c:ser>
          <c:idx val="7"/>
          <c:order val="7"/>
          <c:tx>
            <c:strRef>
              <c:f>'Table 2'!$P$39</c:f>
              <c:strCache>
                <c:ptCount val="1"/>
                <c:pt idx="0">
                  <c:v>2015-2016</c:v>
                </c:pt>
              </c:strCache>
            </c:strRef>
          </c:tx>
          <c:spPr>
            <a:solidFill>
              <a:schemeClr val="accent5">
                <a:tint val="58000"/>
              </a:schemeClr>
            </a:solidFill>
            <a:ln>
              <a:noFill/>
            </a:ln>
            <a:effectLst/>
          </c:spPr>
          <c:invertIfNegative val="0"/>
          <c:errBars>
            <c:errBarType val="both"/>
            <c:errValType val="cust"/>
            <c:noEndCap val="0"/>
            <c:plus>
              <c:numRef>
                <c:f>'Table 2'!$Z$82:$Z$92</c:f>
                <c:numCache>
                  <c:formatCode>General</c:formatCode>
                  <c:ptCount val="11"/>
                  <c:pt idx="0">
                    <c:v>2.077952943386582E-2</c:v>
                  </c:pt>
                  <c:pt idx="1">
                    <c:v>2.1449406444318822E-2</c:v>
                  </c:pt>
                  <c:pt idx="2">
                    <c:v>1.6568289117594767E-2</c:v>
                  </c:pt>
                  <c:pt idx="3">
                    <c:v>2.0053173951451359E-2</c:v>
                  </c:pt>
                  <c:pt idx="4">
                    <c:v>9.5464641180514672E-3</c:v>
                  </c:pt>
                  <c:pt idx="5">
                    <c:v>8.7054128464650396E-3</c:v>
                  </c:pt>
                  <c:pt idx="6">
                    <c:v>1.8758050025731009E-2</c:v>
                  </c:pt>
                  <c:pt idx="7">
                    <c:v>1.865135841612376E-2</c:v>
                  </c:pt>
                  <c:pt idx="8">
                    <c:v>4.4068095781606637E-3</c:v>
                  </c:pt>
                  <c:pt idx="9">
                    <c:v>9.8892053085547719E-3</c:v>
                  </c:pt>
                  <c:pt idx="10">
                    <c:v>4.1642346296978357E-3</c:v>
                  </c:pt>
                </c:numCache>
              </c:numRef>
            </c:plus>
            <c:minus>
              <c:numRef>
                <c:f>'Table 2'!$Z$82:$Z$91</c:f>
                <c:numCache>
                  <c:formatCode>General</c:formatCode>
                  <c:ptCount val="10"/>
                  <c:pt idx="0">
                    <c:v>2.077952943386582E-2</c:v>
                  </c:pt>
                  <c:pt idx="1">
                    <c:v>2.1449406444318822E-2</c:v>
                  </c:pt>
                  <c:pt idx="2">
                    <c:v>1.6568289117594767E-2</c:v>
                  </c:pt>
                  <c:pt idx="3">
                    <c:v>2.0053173951451359E-2</c:v>
                  </c:pt>
                  <c:pt idx="4">
                    <c:v>9.5464641180514672E-3</c:v>
                  </c:pt>
                  <c:pt idx="5">
                    <c:v>8.7054128464650396E-3</c:v>
                  </c:pt>
                  <c:pt idx="6">
                    <c:v>1.8758050025731009E-2</c:v>
                  </c:pt>
                  <c:pt idx="7">
                    <c:v>1.865135841612376E-2</c:v>
                  </c:pt>
                  <c:pt idx="8">
                    <c:v>4.4068095781606637E-3</c:v>
                  </c:pt>
                  <c:pt idx="9">
                    <c:v>9.8892053085547719E-3</c:v>
                  </c:pt>
                </c:numCache>
              </c:numRef>
            </c:minus>
            <c:spPr>
              <a:noFill/>
              <a:ln w="9525" cap="flat" cmpd="sng" algn="ctr">
                <a:solidFill>
                  <a:schemeClr val="tx1">
                    <a:lumMod val="65000"/>
                    <a:lumOff val="35000"/>
                  </a:schemeClr>
                </a:solidFill>
                <a:round/>
              </a:ln>
              <a:effectLst/>
            </c:spPr>
          </c:errBars>
          <c:cat>
            <c:strRef>
              <c:f>'Table 2'!$H$40:$H$51</c:f>
              <c:strCache>
                <c:ptCount val="12"/>
                <c:pt idx="0">
                  <c:v>Newfoundland</c:v>
                </c:pt>
                <c:pt idx="1">
                  <c:v>Prince Edward Island</c:v>
                </c:pt>
                <c:pt idx="2">
                  <c:v>Nova Scotia</c:v>
                </c:pt>
                <c:pt idx="3">
                  <c:v>New Brunswick</c:v>
                </c:pt>
                <c:pt idx="4">
                  <c:v>Quebec</c:v>
                </c:pt>
                <c:pt idx="5">
                  <c:v>Ontario</c:v>
                </c:pt>
                <c:pt idx="6">
                  <c:v>Manitoba</c:v>
                </c:pt>
                <c:pt idx="7">
                  <c:v>Saskatchewan</c:v>
                </c:pt>
                <c:pt idx="8">
                  <c:v>Alberta</c:v>
                </c:pt>
                <c:pt idx="9">
                  <c:v>British Columbia</c:v>
                </c:pt>
                <c:pt idx="11">
                  <c:v>All Canada</c:v>
                </c:pt>
              </c:strCache>
            </c:strRef>
          </c:cat>
          <c:val>
            <c:numRef>
              <c:f>'Table 2'!$P$40:$P$51</c:f>
              <c:numCache>
                <c:formatCode>0%</c:formatCode>
                <c:ptCount val="12"/>
                <c:pt idx="0">
                  <c:v>0.21645343160276895</c:v>
                </c:pt>
                <c:pt idx="1">
                  <c:v>0.15105215805858327</c:v>
                </c:pt>
                <c:pt idx="2">
                  <c:v>0.19265452462319499</c:v>
                </c:pt>
                <c:pt idx="3">
                  <c:v>0.18230158137683053</c:v>
                </c:pt>
                <c:pt idx="4">
                  <c:v>0.18358584842406667</c:v>
                </c:pt>
                <c:pt idx="5">
                  <c:v>0.16741178550894306</c:v>
                </c:pt>
                <c:pt idx="6">
                  <c:v>0.18758050025731007</c:v>
                </c:pt>
                <c:pt idx="7">
                  <c:v>0.19841870655450808</c:v>
                </c:pt>
                <c:pt idx="8">
                  <c:v>0.18361706575669431</c:v>
                </c:pt>
                <c:pt idx="9">
                  <c:v>0.14127436155078246</c:v>
                </c:pt>
                <c:pt idx="11">
                  <c:v>0.17350977623740982</c:v>
                </c:pt>
              </c:numCache>
            </c:numRef>
          </c:val>
          <c:extLst>
            <c:ext xmlns:c16="http://schemas.microsoft.com/office/drawing/2014/chart" uri="{C3380CC4-5D6E-409C-BE32-E72D297353CC}">
              <c16:uniqueId val="{00000008-4A31-4991-AA81-F4892C365C75}"/>
            </c:ext>
          </c:extLst>
        </c:ser>
        <c:ser>
          <c:idx val="8"/>
          <c:order val="8"/>
          <c:tx>
            <c:strRef>
              <c:f>'Table 2'!$Q$39</c:f>
              <c:strCache>
                <c:ptCount val="1"/>
                <c:pt idx="0">
                  <c:v>2017-2018</c:v>
                </c:pt>
              </c:strCache>
            </c:strRef>
          </c:tx>
          <c:spPr>
            <a:solidFill>
              <a:schemeClr val="accent5">
                <a:tint val="44000"/>
              </a:schemeClr>
            </a:solidFill>
            <a:ln>
              <a:noFill/>
            </a:ln>
            <a:effectLst/>
          </c:spPr>
          <c:invertIfNegative val="0"/>
          <c:errBars>
            <c:errBarType val="both"/>
            <c:errValType val="cust"/>
            <c:noEndCap val="0"/>
            <c:plus>
              <c:numRef>
                <c:f>'Table 2'!$AA$82:$AA$92</c:f>
                <c:numCache>
                  <c:formatCode>General</c:formatCode>
                  <c:ptCount val="11"/>
                  <c:pt idx="0">
                    <c:v>1.9988610537864736E-2</c:v>
                  </c:pt>
                  <c:pt idx="1">
                    <c:v>2.142962250093133E-2</c:v>
                  </c:pt>
                  <c:pt idx="2">
                    <c:v>1.6457627035607204E-2</c:v>
                  </c:pt>
                  <c:pt idx="3">
                    <c:v>1.6410569710956838E-2</c:v>
                  </c:pt>
                  <c:pt idx="4">
                    <c:v>8.9378827531657497E-3</c:v>
                  </c:pt>
                  <c:pt idx="5">
                    <c:v>7.9531935485752346E-3</c:v>
                  </c:pt>
                  <c:pt idx="6">
                    <c:v>1.7318568743363034E-2</c:v>
                  </c:pt>
                  <c:pt idx="7">
                    <c:v>1.9624231678616207E-2</c:v>
                  </c:pt>
                  <c:pt idx="8">
                    <c:v>4.2627186327193868E-3</c:v>
                  </c:pt>
                  <c:pt idx="9">
                    <c:v>8.7972716637247581E-3</c:v>
                  </c:pt>
                  <c:pt idx="10">
                    <c:v>4.1721005917729507E-3</c:v>
                  </c:pt>
                </c:numCache>
              </c:numRef>
            </c:plus>
            <c:minus>
              <c:numRef>
                <c:f>'Table 2'!$AA$82:$AA$92</c:f>
                <c:numCache>
                  <c:formatCode>General</c:formatCode>
                  <c:ptCount val="11"/>
                  <c:pt idx="0">
                    <c:v>1.9988610537864736E-2</c:v>
                  </c:pt>
                  <c:pt idx="1">
                    <c:v>2.142962250093133E-2</c:v>
                  </c:pt>
                  <c:pt idx="2">
                    <c:v>1.6457627035607204E-2</c:v>
                  </c:pt>
                  <c:pt idx="3">
                    <c:v>1.6410569710956838E-2</c:v>
                  </c:pt>
                  <c:pt idx="4">
                    <c:v>8.9378827531657497E-3</c:v>
                  </c:pt>
                  <c:pt idx="5">
                    <c:v>7.9531935485752346E-3</c:v>
                  </c:pt>
                  <c:pt idx="6">
                    <c:v>1.7318568743363034E-2</c:v>
                  </c:pt>
                  <c:pt idx="7">
                    <c:v>1.9624231678616207E-2</c:v>
                  </c:pt>
                  <c:pt idx="8">
                    <c:v>4.2627186327193868E-3</c:v>
                  </c:pt>
                  <c:pt idx="9">
                    <c:v>8.7972716637247581E-3</c:v>
                  </c:pt>
                  <c:pt idx="10">
                    <c:v>4.1721005917729507E-3</c:v>
                  </c:pt>
                </c:numCache>
              </c:numRef>
            </c:minus>
            <c:spPr>
              <a:noFill/>
              <a:ln w="9525" cap="flat" cmpd="sng" algn="ctr">
                <a:solidFill>
                  <a:schemeClr val="tx1">
                    <a:lumMod val="65000"/>
                    <a:lumOff val="35000"/>
                  </a:schemeClr>
                </a:solidFill>
                <a:round/>
              </a:ln>
              <a:effectLst/>
            </c:spPr>
          </c:errBars>
          <c:cat>
            <c:strRef>
              <c:f>'Table 2'!$H$40:$H$51</c:f>
              <c:strCache>
                <c:ptCount val="12"/>
                <c:pt idx="0">
                  <c:v>Newfoundland</c:v>
                </c:pt>
                <c:pt idx="1">
                  <c:v>Prince Edward Island</c:v>
                </c:pt>
                <c:pt idx="2">
                  <c:v>Nova Scotia</c:v>
                </c:pt>
                <c:pt idx="3">
                  <c:v>New Brunswick</c:v>
                </c:pt>
                <c:pt idx="4">
                  <c:v>Quebec</c:v>
                </c:pt>
                <c:pt idx="5">
                  <c:v>Ontario</c:v>
                </c:pt>
                <c:pt idx="6">
                  <c:v>Manitoba</c:v>
                </c:pt>
                <c:pt idx="7">
                  <c:v>Saskatchewan</c:v>
                </c:pt>
                <c:pt idx="8">
                  <c:v>Alberta</c:v>
                </c:pt>
                <c:pt idx="9">
                  <c:v>British Columbia</c:v>
                </c:pt>
                <c:pt idx="11">
                  <c:v>All Canada</c:v>
                </c:pt>
              </c:strCache>
            </c:strRef>
          </c:cat>
          <c:val>
            <c:numRef>
              <c:f>'Table 2'!$Q$40:$Q$51</c:f>
              <c:numCache>
                <c:formatCode>0%</c:formatCode>
                <c:ptCount val="12"/>
                <c:pt idx="0">
                  <c:v>0.20821469310275767</c:v>
                </c:pt>
                <c:pt idx="1">
                  <c:v>0.17007636905501056</c:v>
                </c:pt>
                <c:pt idx="2">
                  <c:v>0.17888725038703482</c:v>
                </c:pt>
                <c:pt idx="3">
                  <c:v>0.1439523658855863</c:v>
                </c:pt>
                <c:pt idx="4">
                  <c:v>0.17875765506331501</c:v>
                </c:pt>
                <c:pt idx="5">
                  <c:v>0.15294602978029298</c:v>
                </c:pt>
                <c:pt idx="6">
                  <c:v>0.16652469945541379</c:v>
                </c:pt>
                <c:pt idx="7">
                  <c:v>0.20024726202669599</c:v>
                </c:pt>
                <c:pt idx="8">
                  <c:v>0.16395071664305336</c:v>
                </c:pt>
                <c:pt idx="9">
                  <c:v>0.12567530948178224</c:v>
                </c:pt>
                <c:pt idx="11">
                  <c:v>0.16046540737588269</c:v>
                </c:pt>
              </c:numCache>
            </c:numRef>
          </c:val>
          <c:extLst>
            <c:ext xmlns:c16="http://schemas.microsoft.com/office/drawing/2014/chart" uri="{C3380CC4-5D6E-409C-BE32-E72D297353CC}">
              <c16:uniqueId val="{00000009-4A31-4991-AA81-F4892C365C75}"/>
            </c:ext>
          </c:extLst>
        </c:ser>
        <c:dLbls>
          <c:showLegendKey val="0"/>
          <c:showVal val="0"/>
          <c:showCatName val="0"/>
          <c:showSerName val="0"/>
          <c:showPercent val="0"/>
          <c:showBubbleSize val="0"/>
        </c:dLbls>
        <c:gapWidth val="150"/>
        <c:axId val="388043856"/>
        <c:axId val="388045496"/>
        <c:extLst/>
      </c:barChart>
      <c:catAx>
        <c:axId val="388043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50000"/>
                    <a:lumOff val="50000"/>
                  </a:schemeClr>
                </a:solidFill>
                <a:latin typeface="+mn-lt"/>
                <a:ea typeface="+mn-ea"/>
                <a:cs typeface="+mn-cs"/>
              </a:defRPr>
            </a:pPr>
            <a:endParaRPr lang="en-US"/>
          </a:p>
        </c:txPr>
        <c:crossAx val="388045496"/>
        <c:crosses val="autoZero"/>
        <c:auto val="1"/>
        <c:lblAlgn val="ctr"/>
        <c:lblOffset val="100"/>
        <c:noMultiLvlLbl val="0"/>
      </c:catAx>
      <c:valAx>
        <c:axId val="3880454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50000"/>
                    <a:lumOff val="50000"/>
                  </a:schemeClr>
                </a:solidFill>
                <a:latin typeface="+mn-lt"/>
                <a:ea typeface="+mn-ea"/>
                <a:cs typeface="+mn-cs"/>
              </a:defRPr>
            </a:pPr>
            <a:endParaRPr lang="en-US"/>
          </a:p>
        </c:txPr>
        <c:crossAx val="3880438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3'!$J$52</c:f>
          <c:strCache>
            <c:ptCount val="1"/>
            <c:pt idx="0">
              <c:v>Prevalence, 2017-2018, 20 to 29 year olds, Current smoker</c:v>
            </c:pt>
          </c:strCache>
        </c:strRef>
      </c:tx>
      <c:layout>
        <c:manualLayout>
          <c:xMode val="edge"/>
          <c:yMode val="edge"/>
          <c:x val="0.17601418203243352"/>
          <c:y val="3.2407407407407406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1"/>
          <c:tx>
            <c:strRef>
              <c:f>'Table 3'!$H$33</c:f>
              <c:strCache>
                <c:ptCount val="1"/>
                <c:pt idx="0">
                  <c:v>Prevalence</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'Table 3'!$I$37:$S$37</c:f>
                <c:numCache>
                  <c:formatCode>General</c:formatCode>
                  <c:ptCount val="11"/>
                  <c:pt idx="0">
                    <c:v>6.038465980502055E-2</c:v>
                  </c:pt>
                  <c:pt idx="1">
                    <c:v>5.8226244343891412E-2</c:v>
                  </c:pt>
                  <c:pt idx="2">
                    <c:v>4.1563548257712808E-2</c:v>
                  </c:pt>
                  <c:pt idx="3">
                    <c:v>6.1441198711665035E-2</c:v>
                  </c:pt>
                  <c:pt idx="4">
                    <c:v>2.5004674808857111E-2</c:v>
                  </c:pt>
                  <c:pt idx="5">
                    <c:v>2.0787245154551433E-2</c:v>
                  </c:pt>
                  <c:pt idx="6">
                    <c:v>4.260221958456973E-2</c:v>
                  </c:pt>
                  <c:pt idx="7">
                    <c:v>5.7459937640490184E-2</c:v>
                  </c:pt>
                  <c:pt idx="8">
                    <c:v>2.7842743289452951E-2</c:v>
                  </c:pt>
                  <c:pt idx="9">
                    <c:v>2.531392945647596E-2</c:v>
                  </c:pt>
                  <c:pt idx="10">
                    <c:v>1.1784869185965417E-2</c:v>
                  </c:pt>
                </c:numCache>
              </c:numRef>
            </c:plus>
            <c:minus>
              <c:numRef>
                <c:f>'Table 3'!$I$37:$S$37</c:f>
                <c:numCache>
                  <c:formatCode>General</c:formatCode>
                  <c:ptCount val="11"/>
                  <c:pt idx="0">
                    <c:v>6.038465980502055E-2</c:v>
                  </c:pt>
                  <c:pt idx="1">
                    <c:v>5.8226244343891412E-2</c:v>
                  </c:pt>
                  <c:pt idx="2">
                    <c:v>4.1563548257712808E-2</c:v>
                  </c:pt>
                  <c:pt idx="3">
                    <c:v>6.1441198711665035E-2</c:v>
                  </c:pt>
                  <c:pt idx="4">
                    <c:v>2.5004674808857111E-2</c:v>
                  </c:pt>
                  <c:pt idx="5">
                    <c:v>2.0787245154551433E-2</c:v>
                  </c:pt>
                  <c:pt idx="6">
                    <c:v>4.260221958456973E-2</c:v>
                  </c:pt>
                  <c:pt idx="7">
                    <c:v>5.7459937640490184E-2</c:v>
                  </c:pt>
                  <c:pt idx="8">
                    <c:v>2.7842743289452951E-2</c:v>
                  </c:pt>
                  <c:pt idx="9">
                    <c:v>2.531392945647596E-2</c:v>
                  </c:pt>
                  <c:pt idx="10">
                    <c:v>1.1784869185965417E-2</c:v>
                  </c:pt>
                </c:numCache>
              </c:numRef>
            </c:minus>
            <c:spPr>
              <a:noFill/>
              <a:ln w="9525" cap="flat" cmpd="sng" algn="ctr">
                <a:solidFill>
                  <a:schemeClr val="tx1">
                    <a:lumMod val="65000"/>
                    <a:lumOff val="35000"/>
                  </a:schemeClr>
                </a:solidFill>
                <a:round/>
              </a:ln>
              <a:effectLst/>
            </c:spPr>
          </c:errBars>
          <c:cat>
            <c:strRef>
              <c:f>'Table 3'!$I$31:$S$31</c:f>
              <c:strCache>
                <c:ptCount val="11"/>
                <c:pt idx="0">
                  <c:v>NL</c:v>
                </c:pt>
                <c:pt idx="1">
                  <c:v>PEI</c:v>
                </c:pt>
                <c:pt idx="2">
                  <c:v>NS</c:v>
                </c:pt>
                <c:pt idx="3">
                  <c:v>NB</c:v>
                </c:pt>
                <c:pt idx="4">
                  <c:v>QC</c:v>
                </c:pt>
                <c:pt idx="5">
                  <c:v>ON</c:v>
                </c:pt>
                <c:pt idx="6">
                  <c:v>MB</c:v>
                </c:pt>
                <c:pt idx="7">
                  <c:v>SK</c:v>
                </c:pt>
                <c:pt idx="8">
                  <c:v>AB</c:v>
                </c:pt>
                <c:pt idx="9">
                  <c:v>BC</c:v>
                </c:pt>
                <c:pt idx="10">
                  <c:v>Total</c:v>
                </c:pt>
              </c:strCache>
            </c:strRef>
          </c:cat>
          <c:val>
            <c:numRef>
              <c:f>'Table 3'!$I$33:$S$33</c:f>
              <c:numCache>
                <c:formatCode>0%</c:formatCode>
                <c:ptCount val="11"/>
                <c:pt idx="0">
                  <c:v>0.24348653147185706</c:v>
                </c:pt>
                <c:pt idx="1">
                  <c:v>0.17538025404786567</c:v>
                </c:pt>
                <c:pt idx="2">
                  <c:v>0.20176479736753788</c:v>
                </c:pt>
                <c:pt idx="3">
                  <c:v>0.21634224898473603</c:v>
                </c:pt>
                <c:pt idx="4">
                  <c:v>0.23589315857412371</c:v>
                </c:pt>
                <c:pt idx="5">
                  <c:v>0.18234425574167923</c:v>
                </c:pt>
                <c:pt idx="6">
                  <c:v>0.2109020771513353</c:v>
                </c:pt>
                <c:pt idx="7">
                  <c:v>0.2635776955985788</c:v>
                </c:pt>
                <c:pt idx="8">
                  <c:v>0.21752143194885115</c:v>
                </c:pt>
                <c:pt idx="9">
                  <c:v>0.16875952970983973</c:v>
                </c:pt>
                <c:pt idx="10">
                  <c:v>0.20318739975802441</c:v>
                </c:pt>
              </c:numCache>
            </c:numRef>
          </c:val>
          <c:extLst>
            <c:ext xmlns:c16="http://schemas.microsoft.com/office/drawing/2014/chart" uri="{C3380CC4-5D6E-409C-BE32-E72D297353CC}">
              <c16:uniqueId val="{00000000-60EC-438D-9D10-0211C0577AF8}"/>
            </c:ext>
          </c:extLst>
        </c:ser>
        <c:dLbls>
          <c:showLegendKey val="0"/>
          <c:showVal val="0"/>
          <c:showCatName val="0"/>
          <c:showSerName val="0"/>
          <c:showPercent val="0"/>
          <c:showBubbleSize val="0"/>
        </c:dLbls>
        <c:gapWidth val="95"/>
        <c:overlap val="-27"/>
        <c:axId val="576960744"/>
        <c:axId val="576961728"/>
        <c:extLst>
          <c:ext xmlns:c15="http://schemas.microsoft.com/office/drawing/2012/chart" uri="{02D57815-91ED-43cb-92C2-25804820EDAC}">
            <c15:filteredBarSeries>
              <c15:ser>
                <c:idx val="0"/>
                <c:order val="0"/>
                <c:tx>
                  <c:strRef>
                    <c:extLst>
                      <c:ext uri="{02D57815-91ED-43cb-92C2-25804820EDAC}">
                        <c15:formulaRef>
                          <c15:sqref>'Table 3'!$H$32</c15:sqref>
                        </c15:formulaRef>
                      </c:ext>
                    </c:extLst>
                    <c:strCache>
                      <c:ptCount val="1"/>
                      <c:pt idx="0">
                        <c:v>Number of People</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Base"/>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extLst>
                        <c:ext uri="{02D57815-91ED-43cb-92C2-25804820EDAC}">
                          <c15:formulaRef>
                            <c15:sqref>'Table 3'!$S$36:$V$36</c15:sqref>
                          </c15:formulaRef>
                        </c:ext>
                      </c:extLst>
                      <c:numCache>
                        <c:formatCode>General</c:formatCode>
                        <c:ptCount val="4"/>
                        <c:pt idx="0">
                          <c:v>54917.183999999994</c:v>
                        </c:pt>
                        <c:pt idx="2">
                          <c:v>0</c:v>
                        </c:pt>
                      </c:numCache>
                    </c:numRef>
                  </c:plus>
                  <c:minus>
                    <c:numRef>
                      <c:extLst>
                        <c:ext uri="{02D57815-91ED-43cb-92C2-25804820EDAC}">
                          <c15:formulaRef>
                            <c15:sqref>'Table 3'!$S$36:$V$36</c15:sqref>
                          </c15:formulaRef>
                        </c:ext>
                      </c:extLst>
                      <c:numCache>
                        <c:formatCode>General</c:formatCode>
                        <c:ptCount val="4"/>
                        <c:pt idx="0">
                          <c:v>54917.183999999994</c:v>
                        </c:pt>
                        <c:pt idx="2">
                          <c:v>0</c:v>
                        </c:pt>
                      </c:numCache>
                    </c:numRef>
                  </c:minus>
                  <c:spPr>
                    <a:noFill/>
                    <a:ln w="9525" cap="flat" cmpd="sng" algn="ctr">
                      <a:solidFill>
                        <a:schemeClr val="tx1">
                          <a:lumMod val="65000"/>
                          <a:lumOff val="35000"/>
                        </a:schemeClr>
                      </a:solidFill>
                      <a:round/>
                    </a:ln>
                    <a:effectLst/>
                  </c:spPr>
                </c:errBars>
                <c:cat>
                  <c:strRef>
                    <c:extLst>
                      <c:ext uri="{02D57815-91ED-43cb-92C2-25804820EDAC}">
                        <c15:formulaRef>
                          <c15:sqref>'Table 3'!$I$31:$S$31</c15:sqref>
                        </c15:formulaRef>
                      </c:ext>
                    </c:extLst>
                    <c:strCache>
                      <c:ptCount val="11"/>
                      <c:pt idx="0">
                        <c:v>NL</c:v>
                      </c:pt>
                      <c:pt idx="1">
                        <c:v>PEI</c:v>
                      </c:pt>
                      <c:pt idx="2">
                        <c:v>NS</c:v>
                      </c:pt>
                      <c:pt idx="3">
                        <c:v>NB</c:v>
                      </c:pt>
                      <c:pt idx="4">
                        <c:v>QC</c:v>
                      </c:pt>
                      <c:pt idx="5">
                        <c:v>ON</c:v>
                      </c:pt>
                      <c:pt idx="6">
                        <c:v>MB</c:v>
                      </c:pt>
                      <c:pt idx="7">
                        <c:v>SK</c:v>
                      </c:pt>
                      <c:pt idx="8">
                        <c:v>AB</c:v>
                      </c:pt>
                      <c:pt idx="9">
                        <c:v>BC</c:v>
                      </c:pt>
                      <c:pt idx="10">
                        <c:v>Total</c:v>
                      </c:pt>
                    </c:strCache>
                  </c:strRef>
                </c:cat>
                <c:val>
                  <c:numRef>
                    <c:extLst>
                      <c:ext uri="{02D57815-91ED-43cb-92C2-25804820EDAC}">
                        <c15:formulaRef>
                          <c15:sqref>'Table 3'!$I$32:$S$32</c15:sqref>
                        </c15:formulaRef>
                      </c:ext>
                    </c:extLst>
                    <c:numCache>
                      <c:formatCode>#,##0</c:formatCode>
                      <c:ptCount val="11"/>
                      <c:pt idx="0">
                        <c:v>14336</c:v>
                      </c:pt>
                      <c:pt idx="1">
                        <c:v>3217</c:v>
                      </c:pt>
                      <c:pt idx="2">
                        <c:v>24649</c:v>
                      </c:pt>
                      <c:pt idx="3">
                        <c:v>15449</c:v>
                      </c:pt>
                      <c:pt idx="4">
                        <c:v>237568</c:v>
                      </c:pt>
                      <c:pt idx="5">
                        <c:v>339366</c:v>
                      </c:pt>
                      <c:pt idx="6">
                        <c:v>35537</c:v>
                      </c:pt>
                      <c:pt idx="7">
                        <c:v>36350</c:v>
                      </c:pt>
                      <c:pt idx="8">
                        <c:v>126969</c:v>
                      </c:pt>
                      <c:pt idx="9">
                        <c:v>103375</c:v>
                      </c:pt>
                      <c:pt idx="10">
                        <c:v>946848</c:v>
                      </c:pt>
                    </c:numCache>
                  </c:numRef>
                </c:val>
                <c:extLst>
                  <c:ext xmlns:c16="http://schemas.microsoft.com/office/drawing/2014/chart" uri="{C3380CC4-5D6E-409C-BE32-E72D297353CC}">
                    <c16:uniqueId val="{00000000-40DF-4391-8D26-01F469034D3F}"/>
                  </c:ext>
                </c:extLst>
              </c15:ser>
            </c15:filteredBarSeries>
          </c:ext>
        </c:extLst>
      </c:barChart>
      <c:catAx>
        <c:axId val="576960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50000"/>
                    <a:lumOff val="50000"/>
                  </a:schemeClr>
                </a:solidFill>
                <a:latin typeface="+mn-lt"/>
                <a:ea typeface="+mn-ea"/>
                <a:cs typeface="+mn-cs"/>
              </a:defRPr>
            </a:pPr>
            <a:endParaRPr lang="en-US"/>
          </a:p>
        </c:txPr>
        <c:crossAx val="576961728"/>
        <c:crosses val="autoZero"/>
        <c:auto val="1"/>
        <c:lblAlgn val="ctr"/>
        <c:lblOffset val="100"/>
        <c:noMultiLvlLbl val="0"/>
      </c:catAx>
      <c:valAx>
        <c:axId val="576961728"/>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50000"/>
                    <a:lumOff val="50000"/>
                  </a:schemeClr>
                </a:solidFill>
                <a:latin typeface="+mn-lt"/>
                <a:ea typeface="+mn-ea"/>
                <a:cs typeface="+mn-cs"/>
              </a:defRPr>
            </a:pPr>
            <a:endParaRPr lang="en-US"/>
          </a:p>
        </c:txPr>
        <c:crossAx val="576960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3'!$F$52</c:f>
          <c:strCache>
            <c:ptCount val="1"/>
            <c:pt idx="0">
              <c:v>Number of people, 2017-2018, 20 to 29 year olds, Current smoker</c:v>
            </c:pt>
          </c:strCache>
        </c:strRef>
      </c:tx>
      <c:layout>
        <c:manualLayout>
          <c:xMode val="edge"/>
          <c:yMode val="edge"/>
          <c:x val="0.18689156480977068"/>
          <c:y val="3.2407407407407406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374871448564936"/>
          <c:y val="0.21391221930592008"/>
          <c:w val="0.82849223382516712"/>
          <c:h val="0.57278506853309996"/>
        </c:manualLayout>
      </c:layout>
      <c:barChart>
        <c:barDir val="col"/>
        <c:grouping val="clustered"/>
        <c:varyColors val="0"/>
        <c:ser>
          <c:idx val="0"/>
          <c:order val="0"/>
          <c:tx>
            <c:strRef>
              <c:f>'Table 3'!$H$32</c:f>
              <c:strCache>
                <c:ptCount val="1"/>
                <c:pt idx="0">
                  <c:v>Number of People</c:v>
                </c:pt>
              </c:strCache>
              <c:extLst xmlns:c15="http://schemas.microsoft.com/office/drawing/2012/chart"/>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'Table 3'!$I$36:$S$36</c:f>
                <c:numCache>
                  <c:formatCode>General</c:formatCode>
                  <c:ptCount val="11"/>
                  <c:pt idx="0">
                    <c:v>3555.328</c:v>
                  </c:pt>
                  <c:pt idx="1">
                    <c:v>1068.0440000000001</c:v>
                  </c:pt>
                  <c:pt idx="2">
                    <c:v>5077.6940000000004</c:v>
                  </c:pt>
                  <c:pt idx="3">
                    <c:v>4387.5159999999996</c:v>
                  </c:pt>
                  <c:pt idx="4">
                    <c:v>25182.207999999999</c:v>
                  </c:pt>
                  <c:pt idx="5">
                    <c:v>38687.724000000002</c:v>
                  </c:pt>
                  <c:pt idx="6">
                    <c:v>7178.4740000000002</c:v>
                  </c:pt>
                  <c:pt idx="7">
                    <c:v>7924.3</c:v>
                  </c:pt>
                  <c:pt idx="8">
                    <c:v>16252.032000000001</c:v>
                  </c:pt>
                  <c:pt idx="9">
                    <c:v>15506.25</c:v>
                  </c:pt>
                  <c:pt idx="10">
                    <c:v>54917.183999999994</c:v>
                  </c:pt>
                </c:numCache>
              </c:numRef>
            </c:plus>
            <c:minus>
              <c:numRef>
                <c:f>'Table 3'!$I$36:$S$36</c:f>
                <c:numCache>
                  <c:formatCode>General</c:formatCode>
                  <c:ptCount val="11"/>
                  <c:pt idx="0">
                    <c:v>3555.328</c:v>
                  </c:pt>
                  <c:pt idx="1">
                    <c:v>1068.0440000000001</c:v>
                  </c:pt>
                  <c:pt idx="2">
                    <c:v>5077.6940000000004</c:v>
                  </c:pt>
                  <c:pt idx="3">
                    <c:v>4387.5159999999996</c:v>
                  </c:pt>
                  <c:pt idx="4">
                    <c:v>25182.207999999999</c:v>
                  </c:pt>
                  <c:pt idx="5">
                    <c:v>38687.724000000002</c:v>
                  </c:pt>
                  <c:pt idx="6">
                    <c:v>7178.4740000000002</c:v>
                  </c:pt>
                  <c:pt idx="7">
                    <c:v>7924.3</c:v>
                  </c:pt>
                  <c:pt idx="8">
                    <c:v>16252.032000000001</c:v>
                  </c:pt>
                  <c:pt idx="9">
                    <c:v>15506.25</c:v>
                  </c:pt>
                  <c:pt idx="10">
                    <c:v>54917.183999999994</c:v>
                  </c:pt>
                </c:numCache>
              </c:numRef>
            </c:minus>
            <c:spPr>
              <a:noFill/>
              <a:ln w="9525" cap="flat" cmpd="sng" algn="ctr">
                <a:solidFill>
                  <a:schemeClr val="tx1">
                    <a:lumMod val="65000"/>
                    <a:lumOff val="35000"/>
                  </a:schemeClr>
                </a:solidFill>
                <a:round/>
              </a:ln>
              <a:effectLst/>
            </c:spPr>
          </c:errBars>
          <c:cat>
            <c:strRef>
              <c:f>'Table 3'!$I$31:$S$31</c:f>
              <c:strCache>
                <c:ptCount val="11"/>
                <c:pt idx="0">
                  <c:v>NL</c:v>
                </c:pt>
                <c:pt idx="1">
                  <c:v>PEI</c:v>
                </c:pt>
                <c:pt idx="2">
                  <c:v>NS</c:v>
                </c:pt>
                <c:pt idx="3">
                  <c:v>NB</c:v>
                </c:pt>
                <c:pt idx="4">
                  <c:v>QC</c:v>
                </c:pt>
                <c:pt idx="5">
                  <c:v>ON</c:v>
                </c:pt>
                <c:pt idx="6">
                  <c:v>MB</c:v>
                </c:pt>
                <c:pt idx="7">
                  <c:v>SK</c:v>
                </c:pt>
                <c:pt idx="8">
                  <c:v>AB</c:v>
                </c:pt>
                <c:pt idx="9">
                  <c:v>BC</c:v>
                </c:pt>
                <c:pt idx="10">
                  <c:v>Total</c:v>
                </c:pt>
              </c:strCache>
              <c:extLst xmlns:c15="http://schemas.microsoft.com/office/drawing/2012/chart"/>
            </c:strRef>
          </c:cat>
          <c:val>
            <c:numRef>
              <c:f>'Table 3'!$I$32:$S$32</c:f>
              <c:numCache>
                <c:formatCode>#,##0</c:formatCode>
                <c:ptCount val="11"/>
                <c:pt idx="0">
                  <c:v>14336</c:v>
                </c:pt>
                <c:pt idx="1">
                  <c:v>3217</c:v>
                </c:pt>
                <c:pt idx="2">
                  <c:v>24649</c:v>
                </c:pt>
                <c:pt idx="3">
                  <c:v>15449</c:v>
                </c:pt>
                <c:pt idx="4">
                  <c:v>237568</c:v>
                </c:pt>
                <c:pt idx="5">
                  <c:v>339366</c:v>
                </c:pt>
                <c:pt idx="6">
                  <c:v>35537</c:v>
                </c:pt>
                <c:pt idx="7">
                  <c:v>36350</c:v>
                </c:pt>
                <c:pt idx="8">
                  <c:v>126969</c:v>
                </c:pt>
                <c:pt idx="9">
                  <c:v>103375</c:v>
                </c:pt>
                <c:pt idx="10">
                  <c:v>946848</c:v>
                </c:pt>
              </c:numCache>
              <c:extLst xmlns:c15="http://schemas.microsoft.com/office/drawing/2012/chart"/>
            </c:numRef>
          </c:val>
          <c:extLst xmlns:c15="http://schemas.microsoft.com/office/drawing/2012/chart">
            <c:ext xmlns:c16="http://schemas.microsoft.com/office/drawing/2014/chart" uri="{C3380CC4-5D6E-409C-BE32-E72D297353CC}">
              <c16:uniqueId val="{00000001-E119-48D1-AF44-2A5A6A346D23}"/>
            </c:ext>
          </c:extLst>
        </c:ser>
        <c:dLbls>
          <c:dLblPos val="outEnd"/>
          <c:showLegendKey val="0"/>
          <c:showVal val="1"/>
          <c:showCatName val="0"/>
          <c:showSerName val="0"/>
          <c:showPercent val="0"/>
          <c:showBubbleSize val="0"/>
        </c:dLbls>
        <c:gapWidth val="95"/>
        <c:overlap val="-27"/>
        <c:axId val="576960744"/>
        <c:axId val="576961728"/>
        <c:extLst>
          <c:ext xmlns:c15="http://schemas.microsoft.com/office/drawing/2012/chart" uri="{02D57815-91ED-43cb-92C2-25804820EDAC}">
            <c15:filteredBarSeries>
              <c15:ser>
                <c:idx val="1"/>
                <c:order val="1"/>
                <c:tx>
                  <c:strRef>
                    <c:extLst>
                      <c:ext uri="{02D57815-91ED-43cb-92C2-25804820EDAC}">
                        <c15:formulaRef>
                          <c15:sqref>'Table 3'!$H$33</c15:sqref>
                        </c15:formulaRef>
                      </c:ext>
                    </c:extLst>
                    <c:strCache>
                      <c:ptCount val="1"/>
                      <c:pt idx="0">
                        <c:v>Prevalence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'Table 3'!$I$31:$S$31</c15:sqref>
                        </c15:formulaRef>
                      </c:ext>
                    </c:extLst>
                    <c:strCache>
                      <c:ptCount val="11"/>
                      <c:pt idx="0">
                        <c:v>NL</c:v>
                      </c:pt>
                      <c:pt idx="1">
                        <c:v>PEI</c:v>
                      </c:pt>
                      <c:pt idx="2">
                        <c:v>NS</c:v>
                      </c:pt>
                      <c:pt idx="3">
                        <c:v>NB</c:v>
                      </c:pt>
                      <c:pt idx="4">
                        <c:v>QC</c:v>
                      </c:pt>
                      <c:pt idx="5">
                        <c:v>ON</c:v>
                      </c:pt>
                      <c:pt idx="6">
                        <c:v>MB</c:v>
                      </c:pt>
                      <c:pt idx="7">
                        <c:v>SK</c:v>
                      </c:pt>
                      <c:pt idx="8">
                        <c:v>AB</c:v>
                      </c:pt>
                      <c:pt idx="9">
                        <c:v>BC</c:v>
                      </c:pt>
                      <c:pt idx="10">
                        <c:v>Total</c:v>
                      </c:pt>
                    </c:strCache>
                  </c:strRef>
                </c:cat>
                <c:val>
                  <c:numRef>
                    <c:extLst>
                      <c:ext uri="{02D57815-91ED-43cb-92C2-25804820EDAC}">
                        <c15:formulaRef>
                          <c15:sqref>'Table 3'!$I$33:$S$33</c15:sqref>
                        </c15:formulaRef>
                      </c:ext>
                    </c:extLst>
                    <c:numCache>
                      <c:formatCode>0%</c:formatCode>
                      <c:ptCount val="11"/>
                      <c:pt idx="0">
                        <c:v>0.24348653147185706</c:v>
                      </c:pt>
                      <c:pt idx="1">
                        <c:v>0.17538025404786567</c:v>
                      </c:pt>
                      <c:pt idx="2">
                        <c:v>0.20176479736753788</c:v>
                      </c:pt>
                      <c:pt idx="3">
                        <c:v>0.21634224898473603</c:v>
                      </c:pt>
                      <c:pt idx="4">
                        <c:v>0.23589315857412371</c:v>
                      </c:pt>
                      <c:pt idx="5">
                        <c:v>0.18234425574167923</c:v>
                      </c:pt>
                      <c:pt idx="6">
                        <c:v>0.2109020771513353</c:v>
                      </c:pt>
                      <c:pt idx="7">
                        <c:v>0.2635776955985788</c:v>
                      </c:pt>
                      <c:pt idx="8">
                        <c:v>0.21752143194885115</c:v>
                      </c:pt>
                      <c:pt idx="9">
                        <c:v>0.16875952970983973</c:v>
                      </c:pt>
                      <c:pt idx="10">
                        <c:v>0.20318739975802441</c:v>
                      </c:pt>
                    </c:numCache>
                  </c:numRef>
                </c:val>
                <c:extLst>
                  <c:ext xmlns:c16="http://schemas.microsoft.com/office/drawing/2014/chart" uri="{C3380CC4-5D6E-409C-BE32-E72D297353CC}">
                    <c16:uniqueId val="{00000000-E119-48D1-AF44-2A5A6A346D23}"/>
                  </c:ext>
                </c:extLst>
              </c15:ser>
            </c15:filteredBarSeries>
          </c:ext>
        </c:extLst>
      </c:barChart>
      <c:catAx>
        <c:axId val="576960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6961728"/>
        <c:crosses val="autoZero"/>
        <c:auto val="1"/>
        <c:lblAlgn val="ctr"/>
        <c:lblOffset val="100"/>
        <c:noMultiLvlLbl val="0"/>
      </c:catAx>
      <c:valAx>
        <c:axId val="5769617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n-US"/>
          </a:p>
        </c:txPr>
        <c:crossAx val="576960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3'!$U$52</c:f>
          <c:strCache>
            <c:ptCount val="1"/>
            <c:pt idx="0">
              <c:v>Share of population, 20 to 29 year olds, 2017-2018</c:v>
            </c:pt>
          </c:strCache>
        </c:strRef>
      </c:tx>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1"/>
          <c:order val="1"/>
          <c:tx>
            <c:strRef>
              <c:f>'Table 3'!$E$66</c:f>
              <c:strCache>
                <c:ptCount val="1"/>
                <c:pt idx="0">
                  <c:v>Current Smoker</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3'!$R$64:$AB$64</c:f>
              <c:strCache>
                <c:ptCount val="11"/>
                <c:pt idx="0">
                  <c:v>NL</c:v>
                </c:pt>
                <c:pt idx="1">
                  <c:v>PEI</c:v>
                </c:pt>
                <c:pt idx="2">
                  <c:v>NS</c:v>
                </c:pt>
                <c:pt idx="3">
                  <c:v>NB</c:v>
                </c:pt>
                <c:pt idx="4">
                  <c:v>QC</c:v>
                </c:pt>
                <c:pt idx="5">
                  <c:v>ON</c:v>
                </c:pt>
                <c:pt idx="6">
                  <c:v>MB</c:v>
                </c:pt>
                <c:pt idx="7">
                  <c:v>SK</c:v>
                </c:pt>
                <c:pt idx="8">
                  <c:v>AB</c:v>
                </c:pt>
                <c:pt idx="9">
                  <c:v>BC</c:v>
                </c:pt>
                <c:pt idx="10">
                  <c:v>Canada</c:v>
                </c:pt>
              </c:strCache>
            </c:strRef>
          </c:cat>
          <c:val>
            <c:numRef>
              <c:f>'Table 3'!$R$66:$AB$66</c:f>
              <c:numCache>
                <c:formatCode>0%</c:formatCode>
                <c:ptCount val="11"/>
                <c:pt idx="0">
                  <c:v>0.24348653147185706</c:v>
                </c:pt>
                <c:pt idx="1">
                  <c:v>0.17538025404786567</c:v>
                </c:pt>
                <c:pt idx="2">
                  <c:v>0.20176479736753788</c:v>
                </c:pt>
                <c:pt idx="3">
                  <c:v>0.21634224898473603</c:v>
                </c:pt>
                <c:pt idx="4">
                  <c:v>0.23589315857412371</c:v>
                </c:pt>
                <c:pt idx="5">
                  <c:v>0.18234425574167923</c:v>
                </c:pt>
                <c:pt idx="6">
                  <c:v>0.2109020771513353</c:v>
                </c:pt>
                <c:pt idx="7">
                  <c:v>0.2635776955985788</c:v>
                </c:pt>
                <c:pt idx="8">
                  <c:v>0.21752143194885115</c:v>
                </c:pt>
                <c:pt idx="9">
                  <c:v>0.16875952970983973</c:v>
                </c:pt>
                <c:pt idx="10">
                  <c:v>0.20318739975802441</c:v>
                </c:pt>
              </c:numCache>
            </c:numRef>
          </c:val>
          <c:extLst>
            <c:ext xmlns:c16="http://schemas.microsoft.com/office/drawing/2014/chart" uri="{C3380CC4-5D6E-409C-BE32-E72D297353CC}">
              <c16:uniqueId val="{00000001-93AF-4534-8BC3-51751D7E5AE6}"/>
            </c:ext>
          </c:extLst>
        </c:ser>
        <c:ser>
          <c:idx val="2"/>
          <c:order val="2"/>
          <c:tx>
            <c:strRef>
              <c:f>'Table 3'!$E$67</c:f>
              <c:strCache>
                <c:ptCount val="1"/>
                <c:pt idx="0">
                  <c:v>Former Smoker</c:v>
                </c:pt>
              </c:strCache>
            </c:strRef>
          </c:tx>
          <c:spPr>
            <a:solidFill>
              <a:schemeClr val="accent3"/>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3'!$R$64:$AB$64</c:f>
              <c:strCache>
                <c:ptCount val="11"/>
                <c:pt idx="0">
                  <c:v>NL</c:v>
                </c:pt>
                <c:pt idx="1">
                  <c:v>PEI</c:v>
                </c:pt>
                <c:pt idx="2">
                  <c:v>NS</c:v>
                </c:pt>
                <c:pt idx="3">
                  <c:v>NB</c:v>
                </c:pt>
                <c:pt idx="4">
                  <c:v>QC</c:v>
                </c:pt>
                <c:pt idx="5">
                  <c:v>ON</c:v>
                </c:pt>
                <c:pt idx="6">
                  <c:v>MB</c:v>
                </c:pt>
                <c:pt idx="7">
                  <c:v>SK</c:v>
                </c:pt>
                <c:pt idx="8">
                  <c:v>AB</c:v>
                </c:pt>
                <c:pt idx="9">
                  <c:v>BC</c:v>
                </c:pt>
                <c:pt idx="10">
                  <c:v>Canada</c:v>
                </c:pt>
              </c:strCache>
            </c:strRef>
          </c:cat>
          <c:val>
            <c:numRef>
              <c:f>'Table 3'!$R$67:$AB$67</c:f>
              <c:numCache>
                <c:formatCode>0%</c:formatCode>
                <c:ptCount val="11"/>
                <c:pt idx="0">
                  <c:v>0.12741601277217296</c:v>
                </c:pt>
                <c:pt idx="1">
                  <c:v>0</c:v>
                </c:pt>
                <c:pt idx="2">
                  <c:v>8.6864701596994276E-2</c:v>
                </c:pt>
                <c:pt idx="3">
                  <c:v>0</c:v>
                </c:pt>
                <c:pt idx="4">
                  <c:v>0.10260252209313872</c:v>
                </c:pt>
                <c:pt idx="5">
                  <c:v>6.0619688704914437E-2</c:v>
                </c:pt>
                <c:pt idx="6">
                  <c:v>9.3418397626112759E-2</c:v>
                </c:pt>
                <c:pt idx="7">
                  <c:v>7.4780654049742587E-2</c:v>
                </c:pt>
                <c:pt idx="8">
                  <c:v>9.0954723937311119E-2</c:v>
                </c:pt>
                <c:pt idx="9">
                  <c:v>8.7288060885663071E-2</c:v>
                </c:pt>
                <c:pt idx="10">
                  <c:v>8.1273200236739521E-2</c:v>
                </c:pt>
              </c:numCache>
            </c:numRef>
          </c:val>
          <c:extLst>
            <c:ext xmlns:c16="http://schemas.microsoft.com/office/drawing/2014/chart" uri="{C3380CC4-5D6E-409C-BE32-E72D297353CC}">
              <c16:uniqueId val="{00000002-93AF-4534-8BC3-51751D7E5AE6}"/>
            </c:ext>
          </c:extLst>
        </c:ser>
        <c:ser>
          <c:idx val="3"/>
          <c:order val="3"/>
          <c:tx>
            <c:strRef>
              <c:f>'Table 3'!$E$68</c:f>
              <c:strCache>
                <c:ptCount val="1"/>
                <c:pt idx="0">
                  <c:v>Experimental Smoker</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3'!$R$64:$AB$64</c:f>
              <c:strCache>
                <c:ptCount val="11"/>
                <c:pt idx="0">
                  <c:v>NL</c:v>
                </c:pt>
                <c:pt idx="1">
                  <c:v>PEI</c:v>
                </c:pt>
                <c:pt idx="2">
                  <c:v>NS</c:v>
                </c:pt>
                <c:pt idx="3">
                  <c:v>NB</c:v>
                </c:pt>
                <c:pt idx="4">
                  <c:v>QC</c:v>
                </c:pt>
                <c:pt idx="5">
                  <c:v>ON</c:v>
                </c:pt>
                <c:pt idx="6">
                  <c:v>MB</c:v>
                </c:pt>
                <c:pt idx="7">
                  <c:v>SK</c:v>
                </c:pt>
                <c:pt idx="8">
                  <c:v>AB</c:v>
                </c:pt>
                <c:pt idx="9">
                  <c:v>BC</c:v>
                </c:pt>
                <c:pt idx="10">
                  <c:v>Canada</c:v>
                </c:pt>
              </c:strCache>
            </c:strRef>
          </c:cat>
          <c:val>
            <c:numRef>
              <c:f>'Table 3'!$R$68:$AB$68</c:f>
              <c:numCache>
                <c:formatCode>0%</c:formatCode>
                <c:ptCount val="11"/>
                <c:pt idx="0">
                  <c:v>0.12986174802133224</c:v>
                </c:pt>
                <c:pt idx="1">
                  <c:v>0</c:v>
                </c:pt>
                <c:pt idx="2">
                  <c:v>0.178051355930816</c:v>
                </c:pt>
                <c:pt idx="3">
                  <c:v>0.16431872286794566</c:v>
                </c:pt>
                <c:pt idx="4">
                  <c:v>0.15576705391718795</c:v>
                </c:pt>
                <c:pt idx="5">
                  <c:v>0.13836286381162391</c:v>
                </c:pt>
                <c:pt idx="6">
                  <c:v>0.12706231454005934</c:v>
                </c:pt>
                <c:pt idx="7">
                  <c:v>0.15254151258066856</c:v>
                </c:pt>
                <c:pt idx="8">
                  <c:v>0.15119203437335105</c:v>
                </c:pt>
                <c:pt idx="9">
                  <c:v>0.13843913555940826</c:v>
                </c:pt>
                <c:pt idx="10">
                  <c:v>0.14484823305881106</c:v>
                </c:pt>
              </c:numCache>
            </c:numRef>
          </c:val>
          <c:extLst>
            <c:ext xmlns:c16="http://schemas.microsoft.com/office/drawing/2014/chart" uri="{C3380CC4-5D6E-409C-BE32-E72D297353CC}">
              <c16:uniqueId val="{00000003-93AF-4534-8BC3-51751D7E5AE6}"/>
            </c:ext>
          </c:extLst>
        </c:ser>
        <c:ser>
          <c:idx val="4"/>
          <c:order val="4"/>
          <c:tx>
            <c:strRef>
              <c:f>'Table 3'!$E$69</c:f>
              <c:strCache>
                <c:ptCount val="1"/>
                <c:pt idx="0">
                  <c:v>Never Smoker</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10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3'!$R$64:$AB$64</c:f>
              <c:strCache>
                <c:ptCount val="11"/>
                <c:pt idx="0">
                  <c:v>NL</c:v>
                </c:pt>
                <c:pt idx="1">
                  <c:v>PEI</c:v>
                </c:pt>
                <c:pt idx="2">
                  <c:v>NS</c:v>
                </c:pt>
                <c:pt idx="3">
                  <c:v>NB</c:v>
                </c:pt>
                <c:pt idx="4">
                  <c:v>QC</c:v>
                </c:pt>
                <c:pt idx="5">
                  <c:v>ON</c:v>
                </c:pt>
                <c:pt idx="6">
                  <c:v>MB</c:v>
                </c:pt>
                <c:pt idx="7">
                  <c:v>SK</c:v>
                </c:pt>
                <c:pt idx="8">
                  <c:v>AB</c:v>
                </c:pt>
                <c:pt idx="9">
                  <c:v>BC</c:v>
                </c:pt>
                <c:pt idx="10">
                  <c:v>Canada</c:v>
                </c:pt>
              </c:strCache>
            </c:strRef>
          </c:cat>
          <c:val>
            <c:numRef>
              <c:f>'Table 3'!$R$69:$AB$69</c:f>
              <c:numCache>
                <c:formatCode>0%</c:formatCode>
                <c:ptCount val="11"/>
                <c:pt idx="0">
                  <c:v>0.49923570773463771</c:v>
                </c:pt>
                <c:pt idx="1">
                  <c:v>0.56195824020062146</c:v>
                </c:pt>
                <c:pt idx="2">
                  <c:v>0.53331914510465184</c:v>
                </c:pt>
                <c:pt idx="3">
                  <c:v>0.50836017364514774</c:v>
                </c:pt>
                <c:pt idx="4">
                  <c:v>0.50573726541554964</c:v>
                </c:pt>
                <c:pt idx="5">
                  <c:v>0.61867319174178237</c:v>
                </c:pt>
                <c:pt idx="6">
                  <c:v>0.5686172106824926</c:v>
                </c:pt>
                <c:pt idx="7">
                  <c:v>0.50910013777101004</c:v>
                </c:pt>
                <c:pt idx="8">
                  <c:v>0.54033180974048667</c:v>
                </c:pt>
                <c:pt idx="9">
                  <c:v>0.60551327384508891</c:v>
                </c:pt>
                <c:pt idx="10">
                  <c:v>0.57069116694642508</c:v>
                </c:pt>
              </c:numCache>
            </c:numRef>
          </c:val>
          <c:extLst>
            <c:ext xmlns:c16="http://schemas.microsoft.com/office/drawing/2014/chart" uri="{C3380CC4-5D6E-409C-BE32-E72D297353CC}">
              <c16:uniqueId val="{00000004-93AF-4534-8BC3-51751D7E5AE6}"/>
            </c:ext>
          </c:extLst>
        </c:ser>
        <c:dLbls>
          <c:showLegendKey val="0"/>
          <c:showVal val="0"/>
          <c:showCatName val="0"/>
          <c:showSerName val="0"/>
          <c:showPercent val="0"/>
          <c:showBubbleSize val="0"/>
        </c:dLbls>
        <c:gapWidth val="75"/>
        <c:overlap val="100"/>
        <c:axId val="1302753184"/>
        <c:axId val="1302753512"/>
        <c:extLst>
          <c:ext xmlns:c15="http://schemas.microsoft.com/office/drawing/2012/chart" uri="{02D57815-91ED-43cb-92C2-25804820EDAC}">
            <c15:filteredBarSeries>
              <c15:ser>
                <c:idx val="0"/>
                <c:order val="0"/>
                <c:tx>
                  <c:strRef>
                    <c:extLst>
                      <c:ext uri="{02D57815-91ED-43cb-92C2-25804820EDAC}">
                        <c15:formulaRef>
                          <c15:sqref>'Table 3'!$E$65</c15:sqref>
                        </c15:formulaRef>
                      </c:ext>
                    </c:extLst>
                    <c:strCache>
                      <c:ptCount val="1"/>
                      <c:pt idx="0">
                        <c:v>All people</c:v>
                      </c:pt>
                    </c:strCache>
                  </c:strRef>
                </c:tx>
                <c:spPr>
                  <a:solidFill>
                    <a:schemeClr val="accent1"/>
                  </a:solidFill>
                  <a:ln>
                    <a:noFill/>
                  </a:ln>
                  <a:effectLst/>
                </c:spPr>
                <c:invertIfNegative val="0"/>
                <c:cat>
                  <c:strRef>
                    <c:extLst>
                      <c:ext uri="{02D57815-91ED-43cb-92C2-25804820EDAC}">
                        <c15:formulaRef>
                          <c15:sqref>'Table 3'!$R$64:$AB$64</c15:sqref>
                        </c15:formulaRef>
                      </c:ext>
                    </c:extLst>
                    <c:strCache>
                      <c:ptCount val="11"/>
                      <c:pt idx="0">
                        <c:v>NL</c:v>
                      </c:pt>
                      <c:pt idx="1">
                        <c:v>PEI</c:v>
                      </c:pt>
                      <c:pt idx="2">
                        <c:v>NS</c:v>
                      </c:pt>
                      <c:pt idx="3">
                        <c:v>NB</c:v>
                      </c:pt>
                      <c:pt idx="4">
                        <c:v>QC</c:v>
                      </c:pt>
                      <c:pt idx="5">
                        <c:v>ON</c:v>
                      </c:pt>
                      <c:pt idx="6">
                        <c:v>MB</c:v>
                      </c:pt>
                      <c:pt idx="7">
                        <c:v>SK</c:v>
                      </c:pt>
                      <c:pt idx="8">
                        <c:v>AB</c:v>
                      </c:pt>
                      <c:pt idx="9">
                        <c:v>BC</c:v>
                      </c:pt>
                      <c:pt idx="10">
                        <c:v>Canada</c:v>
                      </c:pt>
                    </c:strCache>
                  </c:strRef>
                </c:cat>
                <c:val>
                  <c:numRef>
                    <c:extLst>
                      <c:ext uri="{02D57815-91ED-43cb-92C2-25804820EDAC}">
                        <c15:formulaRef>
                          <c15:sqref>'Table 3'!$R$65:$AB$65</c15:sqref>
                        </c15:formulaRef>
                      </c:ext>
                    </c:extLst>
                    <c:numCache>
                      <c:formatCode>0%</c:formatCode>
                      <c:ptCount val="11"/>
                      <c:pt idx="0">
                        <c:v>1</c:v>
                      </c:pt>
                      <c:pt idx="1">
                        <c:v>1</c:v>
                      </c:pt>
                      <c:pt idx="2">
                        <c:v>1</c:v>
                      </c:pt>
                      <c:pt idx="3">
                        <c:v>1</c:v>
                      </c:pt>
                      <c:pt idx="4">
                        <c:v>1</c:v>
                      </c:pt>
                      <c:pt idx="5">
                        <c:v>1</c:v>
                      </c:pt>
                      <c:pt idx="6">
                        <c:v>1</c:v>
                      </c:pt>
                      <c:pt idx="7">
                        <c:v>1</c:v>
                      </c:pt>
                      <c:pt idx="8">
                        <c:v>1</c:v>
                      </c:pt>
                      <c:pt idx="9">
                        <c:v>1</c:v>
                      </c:pt>
                      <c:pt idx="10">
                        <c:v>1</c:v>
                      </c:pt>
                    </c:numCache>
                  </c:numRef>
                </c:val>
                <c:extLst>
                  <c:ext xmlns:c16="http://schemas.microsoft.com/office/drawing/2014/chart" uri="{C3380CC4-5D6E-409C-BE32-E72D297353CC}">
                    <c16:uniqueId val="{00000000-93AF-4534-8BC3-51751D7E5AE6}"/>
                  </c:ext>
                </c:extLst>
              </c15:ser>
            </c15:filteredBarSeries>
          </c:ext>
        </c:extLst>
      </c:barChart>
      <c:catAx>
        <c:axId val="1302753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2753512"/>
        <c:crosses val="autoZero"/>
        <c:auto val="1"/>
        <c:lblAlgn val="ctr"/>
        <c:lblOffset val="100"/>
        <c:noMultiLvlLbl val="0"/>
      </c:catAx>
      <c:valAx>
        <c:axId val="1302753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27531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4'!$L$54</c:f>
          <c:strCache>
            <c:ptCount val="1"/>
            <c:pt idx="0">
              <c:v>Provincial Comparison of Quit Ratio, All ages, both sexes, 2017-2018</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2"/>
          <c:order val="2"/>
          <c:tx>
            <c:strRef>
              <c:f>'Table 4'!$H$31</c:f>
              <c:strCache>
                <c:ptCount val="1"/>
                <c:pt idx="0">
                  <c:v>Quit Ratio (former / current smokers)</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'Table 4'!$I$37:$S$37</c:f>
                <c:numCache>
                  <c:formatCode>General</c:formatCode>
                  <c:ptCount val="11"/>
                  <c:pt idx="0">
                    <c:v>0.26047788681545408</c:v>
                  </c:pt>
                  <c:pt idx="1">
                    <c:v>0.33544059984944014</c:v>
                  </c:pt>
                  <c:pt idx="2">
                    <c:v>0.22286110895089442</c:v>
                  </c:pt>
                  <c:pt idx="3">
                    <c:v>0.33523240742322313</c:v>
                  </c:pt>
                  <c:pt idx="4">
                    <c:v>0.12186661313689594</c:v>
                  </c:pt>
                  <c:pt idx="5">
                    <c:v>0.11908591194427665</c:v>
                  </c:pt>
                  <c:pt idx="6">
                    <c:v>0.20698160682069125</c:v>
                  </c:pt>
                  <c:pt idx="7">
                    <c:v>0.17120371707803858</c:v>
                  </c:pt>
                  <c:pt idx="8">
                    <c:v>5.6750540072797999E-2</c:v>
                  </c:pt>
                  <c:pt idx="9">
                    <c:v>0.19558753095274017</c:v>
                  </c:pt>
                  <c:pt idx="10">
                    <c:v>6.2461579653789075E-2</c:v>
                  </c:pt>
                </c:numCache>
              </c:numRef>
            </c:plus>
            <c:minus>
              <c:numRef>
                <c:f>'Table 4'!$I$37:$S$37</c:f>
                <c:numCache>
                  <c:formatCode>General</c:formatCode>
                  <c:ptCount val="11"/>
                  <c:pt idx="0">
                    <c:v>0.26047788681545408</c:v>
                  </c:pt>
                  <c:pt idx="1">
                    <c:v>0.33544059984944014</c:v>
                  </c:pt>
                  <c:pt idx="2">
                    <c:v>0.22286110895089442</c:v>
                  </c:pt>
                  <c:pt idx="3">
                    <c:v>0.33523240742322313</c:v>
                  </c:pt>
                  <c:pt idx="4">
                    <c:v>0.12186661313689594</c:v>
                  </c:pt>
                  <c:pt idx="5">
                    <c:v>0.11908591194427665</c:v>
                  </c:pt>
                  <c:pt idx="6">
                    <c:v>0.20698160682069125</c:v>
                  </c:pt>
                  <c:pt idx="7">
                    <c:v>0.17120371707803858</c:v>
                  </c:pt>
                  <c:pt idx="8">
                    <c:v>5.6750540072797999E-2</c:v>
                  </c:pt>
                  <c:pt idx="9">
                    <c:v>0.19558753095274017</c:v>
                  </c:pt>
                  <c:pt idx="10">
                    <c:v>6.2461579653789075E-2</c:v>
                  </c:pt>
                </c:numCache>
              </c:numRef>
            </c:minus>
            <c:spPr>
              <a:noFill/>
              <a:ln w="9525" cap="flat" cmpd="sng" algn="ctr">
                <a:solidFill>
                  <a:schemeClr val="tx1">
                    <a:lumMod val="65000"/>
                    <a:lumOff val="35000"/>
                  </a:schemeClr>
                </a:solidFill>
                <a:round/>
              </a:ln>
              <a:effectLst/>
            </c:spPr>
          </c:errBars>
          <c:cat>
            <c:strRef>
              <c:f>'Table 4'!$I$28:$S$28</c:f>
              <c:strCache>
                <c:ptCount val="11"/>
                <c:pt idx="0">
                  <c:v>NL</c:v>
                </c:pt>
                <c:pt idx="1">
                  <c:v>PEI</c:v>
                </c:pt>
                <c:pt idx="2">
                  <c:v>NS</c:v>
                </c:pt>
                <c:pt idx="3">
                  <c:v>NB</c:v>
                </c:pt>
                <c:pt idx="4">
                  <c:v>QC</c:v>
                </c:pt>
                <c:pt idx="5">
                  <c:v>ON</c:v>
                </c:pt>
                <c:pt idx="6">
                  <c:v>Man</c:v>
                </c:pt>
                <c:pt idx="7">
                  <c:v>SK</c:v>
                </c:pt>
                <c:pt idx="8">
                  <c:v>AB</c:v>
                </c:pt>
                <c:pt idx="9">
                  <c:v>BC</c:v>
                </c:pt>
                <c:pt idx="10">
                  <c:v>Canada</c:v>
                </c:pt>
              </c:strCache>
            </c:strRef>
          </c:cat>
          <c:val>
            <c:numRef>
              <c:f>'Table 4'!$I$31:$S$31</c:f>
              <c:numCache>
                <c:formatCode>#,##0.00</c:formatCode>
                <c:ptCount val="11"/>
                <c:pt idx="0">
                  <c:v>1.4765598862495819</c:v>
                </c:pt>
                <c:pt idx="1">
                  <c:v>1.6990052021538742</c:v>
                </c:pt>
                <c:pt idx="2">
                  <c:v>1.5878196569785354</c:v>
                </c:pt>
                <c:pt idx="3">
                  <c:v>2.0077036622024931</c:v>
                </c:pt>
                <c:pt idx="4">
                  <c:v>1.5914308064898051</c:v>
                </c:pt>
                <c:pt idx="5">
                  <c:v>1.4172877592704685</c:v>
                </c:pt>
                <c:pt idx="6">
                  <c:v>1.3413243760905273</c:v>
                </c:pt>
                <c:pt idx="7">
                  <c:v>1.1620994595774878</c:v>
                </c:pt>
                <c:pt idx="8">
                  <c:v>1.3764027707705524</c:v>
                </c:pt>
                <c:pt idx="9">
                  <c:v>1.9757324207459477</c:v>
                </c:pt>
                <c:pt idx="10">
                  <c:v>1.5149158262088431</c:v>
                </c:pt>
              </c:numCache>
            </c:numRef>
          </c:val>
          <c:extLst>
            <c:ext xmlns:c16="http://schemas.microsoft.com/office/drawing/2014/chart" uri="{C3380CC4-5D6E-409C-BE32-E72D297353CC}">
              <c16:uniqueId val="{00000002-132E-49FD-85B9-E663C1D7413C}"/>
            </c:ext>
          </c:extLst>
        </c:ser>
        <c:dLbls>
          <c:showLegendKey val="0"/>
          <c:showVal val="0"/>
          <c:showCatName val="0"/>
          <c:showSerName val="0"/>
          <c:showPercent val="0"/>
          <c:showBubbleSize val="0"/>
        </c:dLbls>
        <c:gapWidth val="75"/>
        <c:overlap val="-27"/>
        <c:axId val="465609328"/>
        <c:axId val="465606376"/>
        <c:extLst>
          <c:ext xmlns:c15="http://schemas.microsoft.com/office/drawing/2012/chart" uri="{02D57815-91ED-43cb-92C2-25804820EDAC}">
            <c15:filteredBarSeries>
              <c15:ser>
                <c:idx val="0"/>
                <c:order val="0"/>
                <c:tx>
                  <c:strRef>
                    <c:extLst>
                      <c:ext uri="{02D57815-91ED-43cb-92C2-25804820EDAC}">
                        <c15:formulaRef>
                          <c15:sqref>'Table 4'!$H$29</c15:sqref>
                        </c15:formulaRef>
                      </c:ext>
                    </c:extLst>
                    <c:strCache>
                      <c:ptCount val="1"/>
                      <c:pt idx="0">
                        <c:v>Current Smokers</c:v>
                      </c:pt>
                    </c:strCache>
                  </c:strRef>
                </c:tx>
                <c:spPr>
                  <a:solidFill>
                    <a:schemeClr val="accent1"/>
                  </a:solidFill>
                  <a:ln>
                    <a:noFill/>
                  </a:ln>
                  <a:effectLst/>
                </c:spPr>
                <c:invertIfNegative val="0"/>
                <c:cat>
                  <c:strRef>
                    <c:extLst>
                      <c:ext uri="{02D57815-91ED-43cb-92C2-25804820EDAC}">
                        <c15:formulaRef>
                          <c15:sqref>'Table 4'!$I$28:$S$28</c15:sqref>
                        </c15:formulaRef>
                      </c:ext>
                    </c:extLst>
                    <c:strCache>
                      <c:ptCount val="11"/>
                      <c:pt idx="0">
                        <c:v>NL</c:v>
                      </c:pt>
                      <c:pt idx="1">
                        <c:v>PEI</c:v>
                      </c:pt>
                      <c:pt idx="2">
                        <c:v>NS</c:v>
                      </c:pt>
                      <c:pt idx="3">
                        <c:v>NB</c:v>
                      </c:pt>
                      <c:pt idx="4">
                        <c:v>QC</c:v>
                      </c:pt>
                      <c:pt idx="5">
                        <c:v>ON</c:v>
                      </c:pt>
                      <c:pt idx="6">
                        <c:v>Man</c:v>
                      </c:pt>
                      <c:pt idx="7">
                        <c:v>SK</c:v>
                      </c:pt>
                      <c:pt idx="8">
                        <c:v>AB</c:v>
                      </c:pt>
                      <c:pt idx="9">
                        <c:v>BC</c:v>
                      </c:pt>
                      <c:pt idx="10">
                        <c:v>Canada</c:v>
                      </c:pt>
                    </c:strCache>
                  </c:strRef>
                </c:cat>
                <c:val>
                  <c:numRef>
                    <c:extLst>
                      <c:ext uri="{02D57815-91ED-43cb-92C2-25804820EDAC}">
                        <c15:formulaRef>
                          <c15:sqref>'Table 4'!$I$29:$S$29</c15:sqref>
                        </c15:formulaRef>
                      </c:ext>
                    </c:extLst>
                    <c:numCache>
                      <c:formatCode>#,##0</c:formatCode>
                      <c:ptCount val="11"/>
                      <c:pt idx="0">
                        <c:v>95648</c:v>
                      </c:pt>
                      <c:pt idx="1">
                        <c:v>21914</c:v>
                      </c:pt>
                      <c:pt idx="2">
                        <c:v>146055</c:v>
                      </c:pt>
                      <c:pt idx="3">
                        <c:v>92813</c:v>
                      </c:pt>
                      <c:pt idx="4">
                        <c:v>1279607</c:v>
                      </c:pt>
                      <c:pt idx="5">
                        <c:v>1861907</c:v>
                      </c:pt>
                      <c:pt idx="6">
                        <c:v>175947</c:v>
                      </c:pt>
                      <c:pt idx="7">
                        <c:v>183190</c:v>
                      </c:pt>
                      <c:pt idx="8">
                        <c:v>586696</c:v>
                      </c:pt>
                      <c:pt idx="9">
                        <c:v>518964</c:v>
                      </c:pt>
                      <c:pt idx="10">
                        <c:v>4999656</c:v>
                      </c:pt>
                    </c:numCache>
                  </c:numRef>
                </c:val>
                <c:extLst>
                  <c:ext xmlns:c16="http://schemas.microsoft.com/office/drawing/2014/chart" uri="{C3380CC4-5D6E-409C-BE32-E72D297353CC}">
                    <c16:uniqueId val="{00000000-132E-49FD-85B9-E663C1D7413C}"/>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'Table 4'!$H$30</c15:sqref>
                        </c15:formulaRef>
                      </c:ext>
                    </c:extLst>
                    <c:strCache>
                      <c:ptCount val="1"/>
                      <c:pt idx="0">
                        <c:v>Former Smokers</c:v>
                      </c:pt>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'Table 4'!$I$28:$S$28</c15:sqref>
                        </c15:formulaRef>
                      </c:ext>
                    </c:extLst>
                    <c:strCache>
                      <c:ptCount val="11"/>
                      <c:pt idx="0">
                        <c:v>NL</c:v>
                      </c:pt>
                      <c:pt idx="1">
                        <c:v>PEI</c:v>
                      </c:pt>
                      <c:pt idx="2">
                        <c:v>NS</c:v>
                      </c:pt>
                      <c:pt idx="3">
                        <c:v>NB</c:v>
                      </c:pt>
                      <c:pt idx="4">
                        <c:v>QC</c:v>
                      </c:pt>
                      <c:pt idx="5">
                        <c:v>ON</c:v>
                      </c:pt>
                      <c:pt idx="6">
                        <c:v>Man</c:v>
                      </c:pt>
                      <c:pt idx="7">
                        <c:v>SK</c:v>
                      </c:pt>
                      <c:pt idx="8">
                        <c:v>AB</c:v>
                      </c:pt>
                      <c:pt idx="9">
                        <c:v>BC</c:v>
                      </c:pt>
                      <c:pt idx="10">
                        <c:v>Canada</c:v>
                      </c:pt>
                    </c:strCache>
                  </c:strRef>
                </c:cat>
                <c:val>
                  <c:numRef>
                    <c:extLst xmlns:c15="http://schemas.microsoft.com/office/drawing/2012/chart">
                      <c:ext xmlns:c15="http://schemas.microsoft.com/office/drawing/2012/chart" uri="{02D57815-91ED-43cb-92C2-25804820EDAC}">
                        <c15:formulaRef>
                          <c15:sqref>'Table 4'!$I$30:$S$30</c15:sqref>
                        </c15:formulaRef>
                      </c:ext>
                    </c:extLst>
                    <c:numCache>
                      <c:formatCode>#,##0</c:formatCode>
                      <c:ptCount val="11"/>
                      <c:pt idx="0">
                        <c:v>141230</c:v>
                      </c:pt>
                      <c:pt idx="1">
                        <c:v>37232</c:v>
                      </c:pt>
                      <c:pt idx="2">
                        <c:v>231909</c:v>
                      </c:pt>
                      <c:pt idx="3">
                        <c:v>186341</c:v>
                      </c:pt>
                      <c:pt idx="4">
                        <c:v>2036406</c:v>
                      </c:pt>
                      <c:pt idx="5">
                        <c:v>2638858</c:v>
                      </c:pt>
                      <c:pt idx="6">
                        <c:v>236002</c:v>
                      </c:pt>
                      <c:pt idx="7">
                        <c:v>212885</c:v>
                      </c:pt>
                      <c:pt idx="8">
                        <c:v>807530</c:v>
                      </c:pt>
                      <c:pt idx="9">
                        <c:v>1025334</c:v>
                      </c:pt>
                      <c:pt idx="10">
                        <c:v>7574058</c:v>
                      </c:pt>
                    </c:numCache>
                  </c:numRef>
                </c:val>
                <c:extLst xmlns:c15="http://schemas.microsoft.com/office/drawing/2012/chart">
                  <c:ext xmlns:c16="http://schemas.microsoft.com/office/drawing/2014/chart" uri="{C3380CC4-5D6E-409C-BE32-E72D297353CC}">
                    <c16:uniqueId val="{00000001-132E-49FD-85B9-E663C1D7413C}"/>
                  </c:ext>
                </c:extLst>
              </c15:ser>
            </c15:filteredBarSeries>
          </c:ext>
        </c:extLst>
      </c:barChart>
      <c:catAx>
        <c:axId val="465609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5606376"/>
        <c:crosses val="autoZero"/>
        <c:auto val="1"/>
        <c:lblAlgn val="ctr"/>
        <c:lblOffset val="100"/>
        <c:noMultiLvlLbl val="0"/>
      </c:catAx>
      <c:valAx>
        <c:axId val="46560637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5609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'Table 4'!$L$53</c:f>
          <c:strCache>
            <c:ptCount val="1"/>
            <c:pt idx="0">
              <c:v>Provincial Comparison 2000-2018, Quit Ratio, All ages, both sexes</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'Table 4'!$AD$99</c:f>
              <c:strCache>
                <c:ptCount val="1"/>
                <c:pt idx="0">
                  <c:v>2000-2001</c:v>
                </c:pt>
              </c:strCache>
            </c:strRef>
          </c:tx>
          <c:spPr>
            <a:solidFill>
              <a:schemeClr val="accent1"/>
            </a:solidFill>
            <a:ln>
              <a:noFill/>
            </a:ln>
            <a:effectLst/>
          </c:spPr>
          <c:invertIfNegative val="0"/>
          <c:errBars>
            <c:errBarType val="both"/>
            <c:errValType val="cust"/>
            <c:noEndCap val="0"/>
            <c:plus>
              <c:numRef>
                <c:f>'Table 4'!$AO$100:$AO$110</c:f>
                <c:numCache>
                  <c:formatCode>General</c:formatCode>
                  <c:ptCount val="11"/>
                  <c:pt idx="0">
                    <c:v>8.8757559593011112E-2</c:v>
                  </c:pt>
                  <c:pt idx="1">
                    <c:v>0.10802141253756088</c:v>
                  </c:pt>
                  <c:pt idx="2">
                    <c:v>7.9623788057437417E-2</c:v>
                  </c:pt>
                  <c:pt idx="3">
                    <c:v>9.1096617804800231E-2</c:v>
                  </c:pt>
                  <c:pt idx="4">
                    <c:v>4.3120445309189154E-2</c:v>
                  </c:pt>
                  <c:pt idx="5">
                    <c:v>3.9864866773209454E-2</c:v>
                  </c:pt>
                  <c:pt idx="6">
                    <c:v>8.415893925583412E-2</c:v>
                  </c:pt>
                  <c:pt idx="7">
                    <c:v>6.637342437334888E-2</c:v>
                  </c:pt>
                  <c:pt idx="8">
                    <c:v>1.8425419647872178E-2</c:v>
                  </c:pt>
                  <c:pt idx="9">
                    <c:v>7.7448103643309937E-2</c:v>
                  </c:pt>
                  <c:pt idx="10">
                    <c:v>2.1554150281408772E-2</c:v>
                  </c:pt>
                </c:numCache>
              </c:numRef>
            </c:plus>
            <c:minus>
              <c:numRef>
                <c:f>'Table 4'!$AO$100:$AO$110</c:f>
                <c:numCache>
                  <c:formatCode>General</c:formatCode>
                  <c:ptCount val="11"/>
                  <c:pt idx="0">
                    <c:v>8.8757559593011112E-2</c:v>
                  </c:pt>
                  <c:pt idx="1">
                    <c:v>0.10802141253756088</c:v>
                  </c:pt>
                  <c:pt idx="2">
                    <c:v>7.9623788057437417E-2</c:v>
                  </c:pt>
                  <c:pt idx="3">
                    <c:v>9.1096617804800231E-2</c:v>
                  </c:pt>
                  <c:pt idx="4">
                    <c:v>4.3120445309189154E-2</c:v>
                  </c:pt>
                  <c:pt idx="5">
                    <c:v>3.9864866773209454E-2</c:v>
                  </c:pt>
                  <c:pt idx="6">
                    <c:v>8.415893925583412E-2</c:v>
                  </c:pt>
                  <c:pt idx="7">
                    <c:v>6.637342437334888E-2</c:v>
                  </c:pt>
                  <c:pt idx="8">
                    <c:v>1.8425419647872178E-2</c:v>
                  </c:pt>
                  <c:pt idx="9">
                    <c:v>7.7448103643309937E-2</c:v>
                  </c:pt>
                  <c:pt idx="10">
                    <c:v>2.1554150281408772E-2</c:v>
                  </c:pt>
                </c:numCache>
              </c:numRef>
            </c:minus>
            <c:spPr>
              <a:noFill/>
              <a:ln w="9525" cap="flat" cmpd="sng" algn="ctr">
                <a:solidFill>
                  <a:schemeClr val="tx1">
                    <a:lumMod val="65000"/>
                    <a:lumOff val="35000"/>
                  </a:schemeClr>
                </a:solidFill>
                <a:round/>
              </a:ln>
              <a:effectLst/>
            </c:spPr>
          </c:errBars>
          <c:cat>
            <c:strRef>
              <c:f>'Table 4'!$AC$100:$AC$110</c:f>
              <c:strCache>
                <c:ptCount val="11"/>
                <c:pt idx="0">
                  <c:v>NL</c:v>
                </c:pt>
                <c:pt idx="1">
                  <c:v>PEI</c:v>
                </c:pt>
                <c:pt idx="2">
                  <c:v>NS</c:v>
                </c:pt>
                <c:pt idx="3">
                  <c:v>NB</c:v>
                </c:pt>
                <c:pt idx="4">
                  <c:v>QC</c:v>
                </c:pt>
                <c:pt idx="5">
                  <c:v>ON</c:v>
                </c:pt>
                <c:pt idx="6">
                  <c:v>MB</c:v>
                </c:pt>
                <c:pt idx="7">
                  <c:v>SK</c:v>
                </c:pt>
                <c:pt idx="8">
                  <c:v>AB</c:v>
                </c:pt>
                <c:pt idx="9">
                  <c:v>BC</c:v>
                </c:pt>
                <c:pt idx="10">
                  <c:v>Canada</c:v>
                </c:pt>
              </c:strCache>
            </c:strRef>
          </c:cat>
          <c:val>
            <c:numRef>
              <c:f>'Table 4'!$AD$100:$AD$110</c:f>
              <c:numCache>
                <c:formatCode>0.00</c:formatCode>
                <c:ptCount val="11"/>
                <c:pt idx="0">
                  <c:v>0.95092533742101915</c:v>
                </c:pt>
                <c:pt idx="1">
                  <c:v>0.91860788004072691</c:v>
                </c:pt>
                <c:pt idx="2">
                  <c:v>0.97073311170990417</c:v>
                </c:pt>
                <c:pt idx="3">
                  <c:v>1.0389521966602164</c:v>
                </c:pt>
                <c:pt idx="4">
                  <c:v>0.89678703782092073</c:v>
                </c:pt>
                <c:pt idx="5">
                  <c:v>0.93962392088115632</c:v>
                </c:pt>
                <c:pt idx="6">
                  <c:v>0.95982833298817805</c:v>
                </c:pt>
                <c:pt idx="7">
                  <c:v>0.90255958586475893</c:v>
                </c:pt>
                <c:pt idx="8">
                  <c:v>0.81429619870114145</c:v>
                </c:pt>
                <c:pt idx="9">
                  <c:v>1.2908017273884989</c:v>
                </c:pt>
                <c:pt idx="10">
                  <c:v>0.95256786416862949</c:v>
                </c:pt>
              </c:numCache>
            </c:numRef>
          </c:val>
          <c:extLst>
            <c:ext xmlns:c16="http://schemas.microsoft.com/office/drawing/2014/chart" uri="{C3380CC4-5D6E-409C-BE32-E72D297353CC}">
              <c16:uniqueId val="{00000000-484F-4984-8AE3-13D4900C1C6A}"/>
            </c:ext>
          </c:extLst>
        </c:ser>
        <c:ser>
          <c:idx val="1"/>
          <c:order val="1"/>
          <c:tx>
            <c:strRef>
              <c:f>'Table 4'!$AE$99</c:f>
              <c:strCache>
                <c:ptCount val="1"/>
                <c:pt idx="0">
                  <c:v>2003</c:v>
                </c:pt>
              </c:strCache>
            </c:strRef>
          </c:tx>
          <c:spPr>
            <a:solidFill>
              <a:schemeClr val="accent2"/>
            </a:solidFill>
            <a:ln>
              <a:noFill/>
            </a:ln>
            <a:effectLst/>
          </c:spPr>
          <c:invertIfNegative val="0"/>
          <c:errBars>
            <c:errBarType val="both"/>
            <c:errValType val="cust"/>
            <c:noEndCap val="0"/>
            <c:plus>
              <c:numRef>
                <c:f>'Table 4'!$AP$100:$AP$110</c:f>
                <c:numCache>
                  <c:formatCode>General</c:formatCode>
                  <c:ptCount val="11"/>
                  <c:pt idx="0">
                    <c:v>0.14096303526175855</c:v>
                  </c:pt>
                  <c:pt idx="1">
                    <c:v>0.1772648537692337</c:v>
                  </c:pt>
                  <c:pt idx="2">
                    <c:v>0.14713420637374602</c:v>
                  </c:pt>
                  <c:pt idx="3">
                    <c:v>9.8676666473633712E-2</c:v>
                  </c:pt>
                  <c:pt idx="4">
                    <c:v>5.8109666166896536E-2</c:v>
                  </c:pt>
                  <c:pt idx="5">
                    <c:v>4.521244090992145E-2</c:v>
                  </c:pt>
                  <c:pt idx="6">
                    <c:v>0.12359239156051795</c:v>
                  </c:pt>
                  <c:pt idx="7">
                    <c:v>0.10356685510187608</c:v>
                  </c:pt>
                  <c:pt idx="8">
                    <c:v>2.483711381317345E-2</c:v>
                  </c:pt>
                  <c:pt idx="9">
                    <c:v>9.7114091039903663E-2</c:v>
                  </c:pt>
                  <c:pt idx="10">
                    <c:v>2.5792529833778142E-2</c:v>
                  </c:pt>
                </c:numCache>
              </c:numRef>
            </c:plus>
            <c:minus>
              <c:numRef>
                <c:f>'Table 4'!$AP$100:$AP$110</c:f>
                <c:numCache>
                  <c:formatCode>General</c:formatCode>
                  <c:ptCount val="11"/>
                  <c:pt idx="0">
                    <c:v>0.14096303526175855</c:v>
                  </c:pt>
                  <c:pt idx="1">
                    <c:v>0.1772648537692337</c:v>
                  </c:pt>
                  <c:pt idx="2">
                    <c:v>0.14713420637374602</c:v>
                  </c:pt>
                  <c:pt idx="3">
                    <c:v>9.8676666473633712E-2</c:v>
                  </c:pt>
                  <c:pt idx="4">
                    <c:v>5.8109666166896536E-2</c:v>
                  </c:pt>
                  <c:pt idx="5">
                    <c:v>4.521244090992145E-2</c:v>
                  </c:pt>
                  <c:pt idx="6">
                    <c:v>0.12359239156051795</c:v>
                  </c:pt>
                  <c:pt idx="7">
                    <c:v>0.10356685510187608</c:v>
                  </c:pt>
                  <c:pt idx="8">
                    <c:v>2.483711381317345E-2</c:v>
                  </c:pt>
                  <c:pt idx="9">
                    <c:v>9.7114091039903663E-2</c:v>
                  </c:pt>
                  <c:pt idx="10">
                    <c:v>2.5792529833778142E-2</c:v>
                  </c:pt>
                </c:numCache>
              </c:numRef>
            </c:minus>
            <c:spPr>
              <a:noFill/>
              <a:ln w="9525" cap="flat" cmpd="sng" algn="ctr">
                <a:solidFill>
                  <a:schemeClr val="tx1">
                    <a:lumMod val="65000"/>
                    <a:lumOff val="35000"/>
                  </a:schemeClr>
                </a:solidFill>
                <a:round/>
              </a:ln>
              <a:effectLst/>
            </c:spPr>
          </c:errBars>
          <c:cat>
            <c:strRef>
              <c:f>'Table 4'!$AC$100:$AC$110</c:f>
              <c:strCache>
                <c:ptCount val="11"/>
                <c:pt idx="0">
                  <c:v>NL</c:v>
                </c:pt>
                <c:pt idx="1">
                  <c:v>PEI</c:v>
                </c:pt>
                <c:pt idx="2">
                  <c:v>NS</c:v>
                </c:pt>
                <c:pt idx="3">
                  <c:v>NB</c:v>
                </c:pt>
                <c:pt idx="4">
                  <c:v>QC</c:v>
                </c:pt>
                <c:pt idx="5">
                  <c:v>ON</c:v>
                </c:pt>
                <c:pt idx="6">
                  <c:v>MB</c:v>
                </c:pt>
                <c:pt idx="7">
                  <c:v>SK</c:v>
                </c:pt>
                <c:pt idx="8">
                  <c:v>AB</c:v>
                </c:pt>
                <c:pt idx="9">
                  <c:v>BC</c:v>
                </c:pt>
                <c:pt idx="10">
                  <c:v>Canada</c:v>
                </c:pt>
              </c:strCache>
            </c:strRef>
          </c:cat>
          <c:val>
            <c:numRef>
              <c:f>'Table 4'!$AE$100:$AE$110</c:f>
              <c:numCache>
                <c:formatCode>0.00</c:formatCode>
                <c:ptCount val="11"/>
                <c:pt idx="0">
                  <c:v>1.259200969618032</c:v>
                </c:pt>
                <c:pt idx="1">
                  <c:v>1.1911196226548924</c:v>
                </c:pt>
                <c:pt idx="2">
                  <c:v>1.2940408293800969</c:v>
                </c:pt>
                <c:pt idx="3">
                  <c:v>1.1007647295581906</c:v>
                </c:pt>
                <c:pt idx="4">
                  <c:v>1.141381638863862</c:v>
                </c:pt>
                <c:pt idx="5">
                  <c:v>1.065667452046718</c:v>
                </c:pt>
                <c:pt idx="6">
                  <c:v>1.1499081338882271</c:v>
                </c:pt>
                <c:pt idx="7">
                  <c:v>1.0461832221243024</c:v>
                </c:pt>
                <c:pt idx="8">
                  <c:v>1.0976557251498131</c:v>
                </c:pt>
                <c:pt idx="9">
                  <c:v>1.4195782055710071</c:v>
                </c:pt>
                <c:pt idx="10">
                  <c:v>1.1398795468388034</c:v>
                </c:pt>
              </c:numCache>
            </c:numRef>
          </c:val>
          <c:extLst>
            <c:ext xmlns:c16="http://schemas.microsoft.com/office/drawing/2014/chart" uri="{C3380CC4-5D6E-409C-BE32-E72D297353CC}">
              <c16:uniqueId val="{00000001-484F-4984-8AE3-13D4900C1C6A}"/>
            </c:ext>
          </c:extLst>
        </c:ser>
        <c:ser>
          <c:idx val="2"/>
          <c:order val="2"/>
          <c:tx>
            <c:strRef>
              <c:f>'Table 4'!$AF$99</c:f>
              <c:strCache>
                <c:ptCount val="1"/>
                <c:pt idx="0">
                  <c:v>2005</c:v>
                </c:pt>
              </c:strCache>
            </c:strRef>
          </c:tx>
          <c:spPr>
            <a:solidFill>
              <a:schemeClr val="accent3"/>
            </a:solidFill>
            <a:ln>
              <a:noFill/>
            </a:ln>
            <a:effectLst/>
          </c:spPr>
          <c:invertIfNegative val="0"/>
          <c:errBars>
            <c:errBarType val="both"/>
            <c:errValType val="cust"/>
            <c:noEndCap val="0"/>
            <c:plus>
              <c:numRef>
                <c:f>'Table 4'!$AQ$100:$AQ$110</c:f>
                <c:numCache>
                  <c:formatCode>General</c:formatCode>
                  <c:ptCount val="11"/>
                  <c:pt idx="0">
                    <c:v>0.15127412648829755</c:v>
                  </c:pt>
                  <c:pt idx="1">
                    <c:v>0.20016514383573633</c:v>
                  </c:pt>
                  <c:pt idx="2">
                    <c:v>0.13847468255457546</c:v>
                  </c:pt>
                  <c:pt idx="3">
                    <c:v>0.13118554045481556</c:v>
                  </c:pt>
                  <c:pt idx="4">
                    <c:v>5.7377827203145021E-2</c:v>
                  </c:pt>
                  <c:pt idx="5">
                    <c:v>4.9163143363199928E-2</c:v>
                  </c:pt>
                  <c:pt idx="6">
                    <c:v>0.13571329067776741</c:v>
                  </c:pt>
                  <c:pt idx="7">
                    <c:v>9.6722529238067304E-2</c:v>
                  </c:pt>
                  <c:pt idx="8">
                    <c:v>6.5670607188431096E-2</c:v>
                  </c:pt>
                  <c:pt idx="9">
                    <c:v>9.9182258916454005E-2</c:v>
                  </c:pt>
                  <c:pt idx="10">
                    <c:v>2.8631443918995289E-2</c:v>
                  </c:pt>
                </c:numCache>
              </c:numRef>
            </c:plus>
            <c:minus>
              <c:numRef>
                <c:f>'Table 4'!$AQ$100:$AQ$110</c:f>
                <c:numCache>
                  <c:formatCode>General</c:formatCode>
                  <c:ptCount val="11"/>
                  <c:pt idx="0">
                    <c:v>0.15127412648829755</c:v>
                  </c:pt>
                  <c:pt idx="1">
                    <c:v>0.20016514383573633</c:v>
                  </c:pt>
                  <c:pt idx="2">
                    <c:v>0.13847468255457546</c:v>
                  </c:pt>
                  <c:pt idx="3">
                    <c:v>0.13118554045481556</c:v>
                  </c:pt>
                  <c:pt idx="4">
                    <c:v>5.7377827203145021E-2</c:v>
                  </c:pt>
                  <c:pt idx="5">
                    <c:v>4.9163143363199928E-2</c:v>
                  </c:pt>
                  <c:pt idx="6">
                    <c:v>0.13571329067776741</c:v>
                  </c:pt>
                  <c:pt idx="7">
                    <c:v>9.6722529238067304E-2</c:v>
                  </c:pt>
                  <c:pt idx="8">
                    <c:v>6.5670607188431096E-2</c:v>
                  </c:pt>
                  <c:pt idx="9">
                    <c:v>9.9182258916454005E-2</c:v>
                  </c:pt>
                  <c:pt idx="10">
                    <c:v>2.8631443918995289E-2</c:v>
                  </c:pt>
                </c:numCache>
              </c:numRef>
            </c:minus>
            <c:spPr>
              <a:noFill/>
              <a:ln w="9525" cap="flat" cmpd="sng" algn="ctr">
                <a:solidFill>
                  <a:schemeClr val="tx1">
                    <a:lumMod val="65000"/>
                    <a:lumOff val="35000"/>
                  </a:schemeClr>
                </a:solidFill>
                <a:round/>
              </a:ln>
              <a:effectLst/>
            </c:spPr>
          </c:errBars>
          <c:cat>
            <c:strRef>
              <c:f>'Table 4'!$AC$100:$AC$110</c:f>
              <c:strCache>
                <c:ptCount val="11"/>
                <c:pt idx="0">
                  <c:v>NL</c:v>
                </c:pt>
                <c:pt idx="1">
                  <c:v>PEI</c:v>
                </c:pt>
                <c:pt idx="2">
                  <c:v>NS</c:v>
                </c:pt>
                <c:pt idx="3">
                  <c:v>NB</c:v>
                </c:pt>
                <c:pt idx="4">
                  <c:v>QC</c:v>
                </c:pt>
                <c:pt idx="5">
                  <c:v>ON</c:v>
                </c:pt>
                <c:pt idx="6">
                  <c:v>MB</c:v>
                </c:pt>
                <c:pt idx="7">
                  <c:v>SK</c:v>
                </c:pt>
                <c:pt idx="8">
                  <c:v>AB</c:v>
                </c:pt>
                <c:pt idx="9">
                  <c:v>BC</c:v>
                </c:pt>
                <c:pt idx="10">
                  <c:v>Canada</c:v>
                </c:pt>
              </c:strCache>
            </c:strRef>
          </c:cat>
          <c:val>
            <c:numRef>
              <c:f>'Table 4'!$AF$100:$AF$110</c:f>
              <c:numCache>
                <c:formatCode>0.00</c:formatCode>
                <c:ptCount val="11"/>
                <c:pt idx="0">
                  <c:v>1.423067276340414</c:v>
                </c:pt>
                <c:pt idx="1">
                  <c:v>1.3199646575237216</c:v>
                </c:pt>
                <c:pt idx="2">
                  <c:v>1.3516320063049112</c:v>
                </c:pt>
                <c:pt idx="3">
                  <c:v>1.3032819433897855</c:v>
                </c:pt>
                <c:pt idx="4">
                  <c:v>1.1270069640303835</c:v>
                </c:pt>
                <c:pt idx="5">
                  <c:v>1.1587864018855027</c:v>
                </c:pt>
                <c:pt idx="6">
                  <c:v>1.3146957989536701</c:v>
                </c:pt>
                <c:pt idx="7">
                  <c:v>1.0558322104399789</c:v>
                </c:pt>
                <c:pt idx="8">
                  <c:v>1.0553666288085832</c:v>
                </c:pt>
                <c:pt idx="9">
                  <c:v>1.4838069914757175</c:v>
                </c:pt>
                <c:pt idx="10">
                  <c:v>1.1888559995792045</c:v>
                </c:pt>
              </c:numCache>
            </c:numRef>
          </c:val>
          <c:extLst>
            <c:ext xmlns:c16="http://schemas.microsoft.com/office/drawing/2014/chart" uri="{C3380CC4-5D6E-409C-BE32-E72D297353CC}">
              <c16:uniqueId val="{00000002-484F-4984-8AE3-13D4900C1C6A}"/>
            </c:ext>
          </c:extLst>
        </c:ser>
        <c:ser>
          <c:idx val="3"/>
          <c:order val="3"/>
          <c:tx>
            <c:strRef>
              <c:f>'Table 4'!$AG$99</c:f>
              <c:strCache>
                <c:ptCount val="1"/>
                <c:pt idx="0">
                  <c:v>2007-2008</c:v>
                </c:pt>
              </c:strCache>
            </c:strRef>
          </c:tx>
          <c:spPr>
            <a:solidFill>
              <a:schemeClr val="accent4"/>
            </a:solidFill>
            <a:ln>
              <a:noFill/>
            </a:ln>
            <a:effectLst/>
          </c:spPr>
          <c:invertIfNegative val="0"/>
          <c:errBars>
            <c:errBarType val="both"/>
            <c:errValType val="cust"/>
            <c:noEndCap val="0"/>
            <c:plus>
              <c:numRef>
                <c:f>'Table 4'!$AR$100:$AR$110</c:f>
                <c:numCache>
                  <c:formatCode>General</c:formatCode>
                  <c:ptCount val="11"/>
                  <c:pt idx="0">
                    <c:v>0.1261672643019805</c:v>
                  </c:pt>
                  <c:pt idx="1">
                    <c:v>0.17536987833732709</c:v>
                  </c:pt>
                  <c:pt idx="2">
                    <c:v>0.12048441825512139</c:v>
                  </c:pt>
                  <c:pt idx="3">
                    <c:v>0.11255323316943525</c:v>
                  </c:pt>
                  <c:pt idx="4">
                    <c:v>5.4787045469491973E-2</c:v>
                  </c:pt>
                  <c:pt idx="5">
                    <c:v>5.2518910267299893E-2</c:v>
                  </c:pt>
                  <c:pt idx="6">
                    <c:v>0.10927658637306907</c:v>
                  </c:pt>
                  <c:pt idx="7">
                    <c:v>8.1193642601164906E-2</c:v>
                  </c:pt>
                  <c:pt idx="8">
                    <c:v>9.0956375980048673E-2</c:v>
                  </c:pt>
                  <c:pt idx="9">
                    <c:v>0.105517702208018</c:v>
                  </c:pt>
                  <c:pt idx="10">
                    <c:v>2.8320248390161232E-2</c:v>
                  </c:pt>
                </c:numCache>
              </c:numRef>
            </c:plus>
            <c:minus>
              <c:numRef>
                <c:f>'Table 4'!$AR$100:$AR$110</c:f>
                <c:numCache>
                  <c:formatCode>General</c:formatCode>
                  <c:ptCount val="11"/>
                  <c:pt idx="0">
                    <c:v>0.1261672643019805</c:v>
                  </c:pt>
                  <c:pt idx="1">
                    <c:v>0.17536987833732709</c:v>
                  </c:pt>
                  <c:pt idx="2">
                    <c:v>0.12048441825512139</c:v>
                  </c:pt>
                  <c:pt idx="3">
                    <c:v>0.11255323316943525</c:v>
                  </c:pt>
                  <c:pt idx="4">
                    <c:v>5.4787045469491973E-2</c:v>
                  </c:pt>
                  <c:pt idx="5">
                    <c:v>5.2518910267299893E-2</c:v>
                  </c:pt>
                  <c:pt idx="6">
                    <c:v>0.10927658637306907</c:v>
                  </c:pt>
                  <c:pt idx="7">
                    <c:v>8.1193642601164906E-2</c:v>
                  </c:pt>
                  <c:pt idx="8">
                    <c:v>9.0956375980048673E-2</c:v>
                  </c:pt>
                  <c:pt idx="9">
                    <c:v>0.105517702208018</c:v>
                  </c:pt>
                  <c:pt idx="10">
                    <c:v>2.8320248390161232E-2</c:v>
                  </c:pt>
                </c:numCache>
              </c:numRef>
            </c:minus>
            <c:spPr>
              <a:noFill/>
              <a:ln w="9525" cap="flat" cmpd="sng" algn="ctr">
                <a:solidFill>
                  <a:schemeClr val="tx1">
                    <a:lumMod val="65000"/>
                    <a:lumOff val="35000"/>
                  </a:schemeClr>
                </a:solidFill>
                <a:round/>
              </a:ln>
              <a:effectLst/>
            </c:spPr>
          </c:errBars>
          <c:cat>
            <c:strRef>
              <c:f>'Table 4'!$AC$100:$AC$110</c:f>
              <c:strCache>
                <c:ptCount val="11"/>
                <c:pt idx="0">
                  <c:v>NL</c:v>
                </c:pt>
                <c:pt idx="1">
                  <c:v>PEI</c:v>
                </c:pt>
                <c:pt idx="2">
                  <c:v>NS</c:v>
                </c:pt>
                <c:pt idx="3">
                  <c:v>NB</c:v>
                </c:pt>
                <c:pt idx="4">
                  <c:v>QC</c:v>
                </c:pt>
                <c:pt idx="5">
                  <c:v>ON</c:v>
                </c:pt>
                <c:pt idx="6">
                  <c:v>MB</c:v>
                </c:pt>
                <c:pt idx="7">
                  <c:v>SK</c:v>
                </c:pt>
                <c:pt idx="8">
                  <c:v>AB</c:v>
                </c:pt>
                <c:pt idx="9">
                  <c:v>BC</c:v>
                </c:pt>
                <c:pt idx="10">
                  <c:v>Canada</c:v>
                </c:pt>
              </c:strCache>
            </c:strRef>
          </c:cat>
          <c:val>
            <c:numRef>
              <c:f>'Table 4'!$AG$100:$AG$110</c:f>
              <c:numCache>
                <c:formatCode>0.00</c:formatCode>
                <c:ptCount val="11"/>
                <c:pt idx="0">
                  <c:v>1.253427144802542</c:v>
                </c:pt>
                <c:pt idx="1">
                  <c:v>1.2892056222362602</c:v>
                </c:pt>
                <c:pt idx="2">
                  <c:v>1.2284100164992378</c:v>
                </c:pt>
                <c:pt idx="3">
                  <c:v>1.2036574284416175</c:v>
                </c:pt>
                <c:pt idx="4">
                  <c:v>1.1691270604425761</c:v>
                </c:pt>
                <c:pt idx="5">
                  <c:v>1.1605149247042357</c:v>
                </c:pt>
                <c:pt idx="6">
                  <c:v>1.0731974340182586</c:v>
                </c:pt>
                <c:pt idx="7">
                  <c:v>0.96631712274293791</c:v>
                </c:pt>
                <c:pt idx="8">
                  <c:v>1.0719311707940937</c:v>
                </c:pt>
                <c:pt idx="9">
                  <c:v>1.4253943928076322</c:v>
                </c:pt>
                <c:pt idx="10">
                  <c:v>1.1759343085690233</c:v>
                </c:pt>
              </c:numCache>
            </c:numRef>
          </c:val>
          <c:extLst>
            <c:ext xmlns:c16="http://schemas.microsoft.com/office/drawing/2014/chart" uri="{C3380CC4-5D6E-409C-BE32-E72D297353CC}">
              <c16:uniqueId val="{00000003-484F-4984-8AE3-13D4900C1C6A}"/>
            </c:ext>
          </c:extLst>
        </c:ser>
        <c:ser>
          <c:idx val="4"/>
          <c:order val="4"/>
          <c:tx>
            <c:strRef>
              <c:f>'Table 4'!$AH$99</c:f>
              <c:strCache>
                <c:ptCount val="1"/>
                <c:pt idx="0">
                  <c:v>2009-2010</c:v>
                </c:pt>
              </c:strCache>
            </c:strRef>
          </c:tx>
          <c:spPr>
            <a:solidFill>
              <a:schemeClr val="accent5"/>
            </a:solidFill>
            <a:ln>
              <a:noFill/>
            </a:ln>
            <a:effectLst/>
          </c:spPr>
          <c:invertIfNegative val="0"/>
          <c:errBars>
            <c:errBarType val="both"/>
            <c:errValType val="cust"/>
            <c:noEndCap val="0"/>
            <c:plus>
              <c:numRef>
                <c:f>'Table 4'!$AS$100:$AS$110</c:f>
                <c:numCache>
                  <c:formatCode>General</c:formatCode>
                  <c:ptCount val="11"/>
                  <c:pt idx="0">
                    <c:v>0.14618779540046245</c:v>
                  </c:pt>
                  <c:pt idx="1">
                    <c:v>0.19652070677022582</c:v>
                  </c:pt>
                  <c:pt idx="2">
                    <c:v>0.13828146235477118</c:v>
                  </c:pt>
                  <c:pt idx="3">
                    <c:v>0.122955350813807</c:v>
                  </c:pt>
                  <c:pt idx="4">
                    <c:v>6.0762067961295262E-2</c:v>
                  </c:pt>
                  <c:pt idx="5">
                    <c:v>5.1880909571582527E-2</c:v>
                  </c:pt>
                  <c:pt idx="6">
                    <c:v>0.16391463162187619</c:v>
                  </c:pt>
                  <c:pt idx="7">
                    <c:v>0.11733351000744698</c:v>
                  </c:pt>
                  <c:pt idx="8">
                    <c:v>7.5536700904412835E-2</c:v>
                  </c:pt>
                  <c:pt idx="9">
                    <c:v>0.12188510995878256</c:v>
                  </c:pt>
                  <c:pt idx="10">
                    <c:v>3.3241981873155309E-2</c:v>
                  </c:pt>
                </c:numCache>
              </c:numRef>
            </c:plus>
            <c:minus>
              <c:numRef>
                <c:f>'Table 4'!$AS$100:$AS$110</c:f>
                <c:numCache>
                  <c:formatCode>General</c:formatCode>
                  <c:ptCount val="11"/>
                  <c:pt idx="0">
                    <c:v>0.14618779540046245</c:v>
                  </c:pt>
                  <c:pt idx="1">
                    <c:v>0.19652070677022582</c:v>
                  </c:pt>
                  <c:pt idx="2">
                    <c:v>0.13828146235477118</c:v>
                  </c:pt>
                  <c:pt idx="3">
                    <c:v>0.122955350813807</c:v>
                  </c:pt>
                  <c:pt idx="4">
                    <c:v>6.0762067961295262E-2</c:v>
                  </c:pt>
                  <c:pt idx="5">
                    <c:v>5.1880909571582527E-2</c:v>
                  </c:pt>
                  <c:pt idx="6">
                    <c:v>0.16391463162187619</c:v>
                  </c:pt>
                  <c:pt idx="7">
                    <c:v>0.11733351000744698</c:v>
                  </c:pt>
                  <c:pt idx="8">
                    <c:v>7.5536700904412835E-2</c:v>
                  </c:pt>
                  <c:pt idx="9">
                    <c:v>0.12188510995878256</c:v>
                  </c:pt>
                  <c:pt idx="10">
                    <c:v>3.3241981873155309E-2</c:v>
                  </c:pt>
                </c:numCache>
              </c:numRef>
            </c:minus>
            <c:spPr>
              <a:noFill/>
              <a:ln w="9525" cap="flat" cmpd="sng" algn="ctr">
                <a:solidFill>
                  <a:schemeClr val="tx1">
                    <a:lumMod val="65000"/>
                    <a:lumOff val="35000"/>
                  </a:schemeClr>
                </a:solidFill>
                <a:round/>
              </a:ln>
              <a:effectLst/>
            </c:spPr>
          </c:errBars>
          <c:cat>
            <c:strRef>
              <c:f>'Table 4'!$AC$100:$AC$110</c:f>
              <c:strCache>
                <c:ptCount val="11"/>
                <c:pt idx="0">
                  <c:v>NL</c:v>
                </c:pt>
                <c:pt idx="1">
                  <c:v>PEI</c:v>
                </c:pt>
                <c:pt idx="2">
                  <c:v>NS</c:v>
                </c:pt>
                <c:pt idx="3">
                  <c:v>NB</c:v>
                </c:pt>
                <c:pt idx="4">
                  <c:v>QC</c:v>
                </c:pt>
                <c:pt idx="5">
                  <c:v>ON</c:v>
                </c:pt>
                <c:pt idx="6">
                  <c:v>MB</c:v>
                </c:pt>
                <c:pt idx="7">
                  <c:v>SK</c:v>
                </c:pt>
                <c:pt idx="8">
                  <c:v>AB</c:v>
                </c:pt>
                <c:pt idx="9">
                  <c:v>BC</c:v>
                </c:pt>
                <c:pt idx="10">
                  <c:v>Canada</c:v>
                </c:pt>
              </c:strCache>
            </c:strRef>
          </c:cat>
          <c:val>
            <c:numRef>
              <c:f>'Table 4'!$AH$100:$AH$110</c:f>
              <c:numCache>
                <c:formatCode>0.00</c:formatCode>
                <c:ptCount val="11"/>
                <c:pt idx="0">
                  <c:v>1.33965109604102</c:v>
                </c:pt>
                <c:pt idx="1">
                  <c:v>1.3162361069390207</c:v>
                </c:pt>
                <c:pt idx="2">
                  <c:v>1.249894205685574</c:v>
                </c:pt>
                <c:pt idx="3">
                  <c:v>1.2420366049087688</c:v>
                </c:pt>
                <c:pt idx="4">
                  <c:v>1.2636844204220512</c:v>
                </c:pt>
                <c:pt idx="5">
                  <c:v>1.1682993261159589</c:v>
                </c:pt>
                <c:pt idx="6">
                  <c:v>1.2551023084306763</c:v>
                </c:pt>
                <c:pt idx="7">
                  <c:v>1.1629155391283303</c:v>
                </c:pt>
                <c:pt idx="8">
                  <c:v>0.98912061922167271</c:v>
                </c:pt>
                <c:pt idx="9">
                  <c:v>1.5580268666699697</c:v>
                </c:pt>
                <c:pt idx="10">
                  <c:v>1.2219995570260542</c:v>
                </c:pt>
              </c:numCache>
            </c:numRef>
          </c:val>
          <c:extLst>
            <c:ext xmlns:c16="http://schemas.microsoft.com/office/drawing/2014/chart" uri="{C3380CC4-5D6E-409C-BE32-E72D297353CC}">
              <c16:uniqueId val="{00000004-484F-4984-8AE3-13D4900C1C6A}"/>
            </c:ext>
          </c:extLst>
        </c:ser>
        <c:ser>
          <c:idx val="5"/>
          <c:order val="5"/>
          <c:tx>
            <c:strRef>
              <c:f>'Table 4'!$AI$99</c:f>
              <c:strCache>
                <c:ptCount val="1"/>
                <c:pt idx="0">
                  <c:v>2011-2012</c:v>
                </c:pt>
              </c:strCache>
            </c:strRef>
          </c:tx>
          <c:spPr>
            <a:solidFill>
              <a:schemeClr val="accent6"/>
            </a:solidFill>
            <a:ln>
              <a:noFill/>
            </a:ln>
            <a:effectLst/>
          </c:spPr>
          <c:invertIfNegative val="0"/>
          <c:errBars>
            <c:errBarType val="both"/>
            <c:errValType val="cust"/>
            <c:noEndCap val="0"/>
            <c:plus>
              <c:numRef>
                <c:f>'Table 4'!$AT$100:$AT$110</c:f>
                <c:numCache>
                  <c:formatCode>General</c:formatCode>
                  <c:ptCount val="11"/>
                  <c:pt idx="0">
                    <c:v>0.15155769077400863</c:v>
                  </c:pt>
                  <c:pt idx="1">
                    <c:v>0.23749089981459787</c:v>
                  </c:pt>
                  <c:pt idx="2">
                    <c:v>0.14240745274666738</c:v>
                  </c:pt>
                  <c:pt idx="3">
                    <c:v>0.14346216533577572</c:v>
                  </c:pt>
                  <c:pt idx="4">
                    <c:v>7.5065407178406277E-2</c:v>
                  </c:pt>
                  <c:pt idx="5">
                    <c:v>5.8786412946989136E-2</c:v>
                  </c:pt>
                  <c:pt idx="6">
                    <c:v>0.16402161739034221</c:v>
                  </c:pt>
                  <c:pt idx="7">
                    <c:v>0.10772101109674269</c:v>
                  </c:pt>
                  <c:pt idx="8">
                    <c:v>9.7147166111494362E-2</c:v>
                  </c:pt>
                  <c:pt idx="9">
                    <c:v>0.15133000453154583</c:v>
                  </c:pt>
                  <c:pt idx="10">
                    <c:v>3.7302958912599361E-2</c:v>
                  </c:pt>
                </c:numCache>
              </c:numRef>
            </c:plus>
            <c:minus>
              <c:numRef>
                <c:f>'Table 4'!$AT$100:$AT$110</c:f>
                <c:numCache>
                  <c:formatCode>General</c:formatCode>
                  <c:ptCount val="11"/>
                  <c:pt idx="0">
                    <c:v>0.15155769077400863</c:v>
                  </c:pt>
                  <c:pt idx="1">
                    <c:v>0.23749089981459787</c:v>
                  </c:pt>
                  <c:pt idx="2">
                    <c:v>0.14240745274666738</c:v>
                  </c:pt>
                  <c:pt idx="3">
                    <c:v>0.14346216533577572</c:v>
                  </c:pt>
                  <c:pt idx="4">
                    <c:v>7.5065407178406277E-2</c:v>
                  </c:pt>
                  <c:pt idx="5">
                    <c:v>5.8786412946989136E-2</c:v>
                  </c:pt>
                  <c:pt idx="6">
                    <c:v>0.16402161739034221</c:v>
                  </c:pt>
                  <c:pt idx="7">
                    <c:v>0.10772101109674269</c:v>
                  </c:pt>
                  <c:pt idx="8">
                    <c:v>9.7147166111494362E-2</c:v>
                  </c:pt>
                  <c:pt idx="9">
                    <c:v>0.15133000453154583</c:v>
                  </c:pt>
                  <c:pt idx="10">
                    <c:v>3.7302958912599361E-2</c:v>
                  </c:pt>
                </c:numCache>
              </c:numRef>
            </c:minus>
            <c:spPr>
              <a:noFill/>
              <a:ln w="9525" cap="flat" cmpd="sng" algn="ctr">
                <a:solidFill>
                  <a:schemeClr val="tx1">
                    <a:lumMod val="65000"/>
                    <a:lumOff val="35000"/>
                  </a:schemeClr>
                </a:solidFill>
                <a:round/>
              </a:ln>
              <a:effectLst/>
            </c:spPr>
          </c:errBars>
          <c:cat>
            <c:strRef>
              <c:f>'Table 4'!$AC$100:$AC$110</c:f>
              <c:strCache>
                <c:ptCount val="11"/>
                <c:pt idx="0">
                  <c:v>NL</c:v>
                </c:pt>
                <c:pt idx="1">
                  <c:v>PEI</c:v>
                </c:pt>
                <c:pt idx="2">
                  <c:v>NS</c:v>
                </c:pt>
                <c:pt idx="3">
                  <c:v>NB</c:v>
                </c:pt>
                <c:pt idx="4">
                  <c:v>QC</c:v>
                </c:pt>
                <c:pt idx="5">
                  <c:v>ON</c:v>
                </c:pt>
                <c:pt idx="6">
                  <c:v>MB</c:v>
                </c:pt>
                <c:pt idx="7">
                  <c:v>SK</c:v>
                </c:pt>
                <c:pt idx="8">
                  <c:v>AB</c:v>
                </c:pt>
                <c:pt idx="9">
                  <c:v>BC</c:v>
                </c:pt>
                <c:pt idx="10">
                  <c:v>Canada</c:v>
                </c:pt>
              </c:strCache>
            </c:strRef>
          </c:cat>
          <c:val>
            <c:numRef>
              <c:f>'Table 4'!$AI$100:$AI$110</c:f>
              <c:numCache>
                <c:formatCode>0.00</c:formatCode>
                <c:ptCount val="11"/>
                <c:pt idx="0">
                  <c:v>1.3435881017521392</c:v>
                </c:pt>
                <c:pt idx="1">
                  <c:v>1.4132357881378075</c:v>
                </c:pt>
                <c:pt idx="2">
                  <c:v>1.2909907119060429</c:v>
                </c:pt>
                <c:pt idx="3">
                  <c:v>1.3347772362188508</c:v>
                </c:pt>
                <c:pt idx="4">
                  <c:v>1.2637918678185813</c:v>
                </c:pt>
                <c:pt idx="5">
                  <c:v>1.1757282589397826</c:v>
                </c:pt>
                <c:pt idx="6">
                  <c:v>1.2057805668381172</c:v>
                </c:pt>
                <c:pt idx="7">
                  <c:v>1.133716966209398</c:v>
                </c:pt>
                <c:pt idx="8">
                  <c:v>1.0197245912015107</c:v>
                </c:pt>
                <c:pt idx="9">
                  <c:v>1.7156758833471226</c:v>
                </c:pt>
                <c:pt idx="10">
                  <c:v>1.243431963753312</c:v>
                </c:pt>
              </c:numCache>
            </c:numRef>
          </c:val>
          <c:extLst>
            <c:ext xmlns:c16="http://schemas.microsoft.com/office/drawing/2014/chart" uri="{C3380CC4-5D6E-409C-BE32-E72D297353CC}">
              <c16:uniqueId val="{00000005-484F-4984-8AE3-13D4900C1C6A}"/>
            </c:ext>
          </c:extLst>
        </c:ser>
        <c:ser>
          <c:idx val="6"/>
          <c:order val="6"/>
          <c:tx>
            <c:strRef>
              <c:f>'Table 4'!$AJ$99</c:f>
              <c:strCache>
                <c:ptCount val="1"/>
                <c:pt idx="0">
                  <c:v>2013-2014</c:v>
                </c:pt>
              </c:strCache>
            </c:strRef>
          </c:tx>
          <c:spPr>
            <a:solidFill>
              <a:schemeClr val="accent1">
                <a:lumMod val="60000"/>
              </a:schemeClr>
            </a:solidFill>
            <a:ln>
              <a:noFill/>
            </a:ln>
            <a:effectLst/>
          </c:spPr>
          <c:invertIfNegative val="0"/>
          <c:errBars>
            <c:errBarType val="both"/>
            <c:errValType val="cust"/>
            <c:noEndCap val="0"/>
            <c:plus>
              <c:numRef>
                <c:f>'Table 4'!$AU$100:$AU$110</c:f>
                <c:numCache>
                  <c:formatCode>General</c:formatCode>
                  <c:ptCount val="11"/>
                  <c:pt idx="0">
                    <c:v>0.18335547235750838</c:v>
                  </c:pt>
                  <c:pt idx="1">
                    <c:v>0.25651964703278496</c:v>
                  </c:pt>
                  <c:pt idx="2">
                    <c:v>0.14019380317697183</c:v>
                  </c:pt>
                  <c:pt idx="3">
                    <c:v>0.13751274419828274</c:v>
                  </c:pt>
                  <c:pt idx="4">
                    <c:v>7.5471642057862456E-2</c:v>
                  </c:pt>
                  <c:pt idx="5">
                    <c:v>5.6594516986446096E-2</c:v>
                  </c:pt>
                  <c:pt idx="6">
                    <c:v>0.13672887162994868</c:v>
                  </c:pt>
                  <c:pt idx="7">
                    <c:v>0.11084096065009527</c:v>
                  </c:pt>
                  <c:pt idx="8">
                    <c:v>0.10708514487220402</c:v>
                  </c:pt>
                  <c:pt idx="9">
                    <c:v>0.12324657068516814</c:v>
                  </c:pt>
                  <c:pt idx="10">
                    <c:v>3.9949509589460322E-2</c:v>
                  </c:pt>
                </c:numCache>
              </c:numRef>
            </c:plus>
            <c:minus>
              <c:numRef>
                <c:f>'Table 4'!$AU$100:$AU$110</c:f>
                <c:numCache>
                  <c:formatCode>General</c:formatCode>
                  <c:ptCount val="11"/>
                  <c:pt idx="0">
                    <c:v>0.18335547235750838</c:v>
                  </c:pt>
                  <c:pt idx="1">
                    <c:v>0.25651964703278496</c:v>
                  </c:pt>
                  <c:pt idx="2">
                    <c:v>0.14019380317697183</c:v>
                  </c:pt>
                  <c:pt idx="3">
                    <c:v>0.13751274419828274</c:v>
                  </c:pt>
                  <c:pt idx="4">
                    <c:v>7.5471642057862456E-2</c:v>
                  </c:pt>
                  <c:pt idx="5">
                    <c:v>5.6594516986446096E-2</c:v>
                  </c:pt>
                  <c:pt idx="6">
                    <c:v>0.13672887162994868</c:v>
                  </c:pt>
                  <c:pt idx="7">
                    <c:v>0.11084096065009527</c:v>
                  </c:pt>
                  <c:pt idx="8">
                    <c:v>0.10708514487220402</c:v>
                  </c:pt>
                  <c:pt idx="9">
                    <c:v>0.12324657068516814</c:v>
                  </c:pt>
                  <c:pt idx="10">
                    <c:v>3.9949509589460322E-2</c:v>
                  </c:pt>
                </c:numCache>
              </c:numRef>
            </c:minus>
            <c:spPr>
              <a:noFill/>
              <a:ln w="9525" cap="flat" cmpd="sng" algn="ctr">
                <a:solidFill>
                  <a:schemeClr val="tx1">
                    <a:lumMod val="65000"/>
                    <a:lumOff val="35000"/>
                  </a:schemeClr>
                </a:solidFill>
                <a:round/>
              </a:ln>
              <a:effectLst/>
            </c:spPr>
          </c:errBars>
          <c:cat>
            <c:strRef>
              <c:f>'Table 4'!$AC$100:$AC$110</c:f>
              <c:strCache>
                <c:ptCount val="11"/>
                <c:pt idx="0">
                  <c:v>NL</c:v>
                </c:pt>
                <c:pt idx="1">
                  <c:v>PEI</c:v>
                </c:pt>
                <c:pt idx="2">
                  <c:v>NS</c:v>
                </c:pt>
                <c:pt idx="3">
                  <c:v>NB</c:v>
                </c:pt>
                <c:pt idx="4">
                  <c:v>QC</c:v>
                </c:pt>
                <c:pt idx="5">
                  <c:v>ON</c:v>
                </c:pt>
                <c:pt idx="6">
                  <c:v>MB</c:v>
                </c:pt>
                <c:pt idx="7">
                  <c:v>SK</c:v>
                </c:pt>
                <c:pt idx="8">
                  <c:v>AB</c:v>
                </c:pt>
                <c:pt idx="9">
                  <c:v>BC</c:v>
                </c:pt>
                <c:pt idx="10">
                  <c:v>Canada</c:v>
                </c:pt>
              </c:strCache>
            </c:strRef>
          </c:cat>
          <c:val>
            <c:numRef>
              <c:f>'Table 4'!$AJ$100:$AJ$110</c:f>
              <c:numCache>
                <c:formatCode>0.00</c:formatCode>
                <c:ptCount val="11"/>
                <c:pt idx="0">
                  <c:v>1.5365223493386637</c:v>
                </c:pt>
                <c:pt idx="1">
                  <c:v>1.6742048019700391</c:v>
                </c:pt>
                <c:pt idx="2">
                  <c:v>1.3768331792606796</c:v>
                </c:pt>
                <c:pt idx="3">
                  <c:v>1.33187769726189</c:v>
                </c:pt>
                <c:pt idx="4">
                  <c:v>1.3643414886614873</c:v>
                </c:pt>
                <c:pt idx="5">
                  <c:v>1.250573960596665</c:v>
                </c:pt>
                <c:pt idx="6">
                  <c:v>1.4352018520877525</c:v>
                </c:pt>
                <c:pt idx="7">
                  <c:v>1.119662784413052</c:v>
                </c:pt>
                <c:pt idx="8">
                  <c:v>1.1628703636186866</c:v>
                </c:pt>
                <c:pt idx="9">
                  <c:v>1.7353508985245438</c:v>
                </c:pt>
                <c:pt idx="10">
                  <c:v>1.3316503196486773</c:v>
                </c:pt>
              </c:numCache>
            </c:numRef>
          </c:val>
          <c:extLst>
            <c:ext xmlns:c16="http://schemas.microsoft.com/office/drawing/2014/chart" uri="{C3380CC4-5D6E-409C-BE32-E72D297353CC}">
              <c16:uniqueId val="{00000006-484F-4984-8AE3-13D4900C1C6A}"/>
            </c:ext>
          </c:extLst>
        </c:ser>
        <c:ser>
          <c:idx val="7"/>
          <c:order val="7"/>
          <c:tx>
            <c:strRef>
              <c:f>'Table 4'!$AK$99</c:f>
              <c:strCache>
                <c:ptCount val="1"/>
                <c:pt idx="0">
                  <c:v>2015-2016</c:v>
                </c:pt>
              </c:strCache>
            </c:strRef>
          </c:tx>
          <c:spPr>
            <a:solidFill>
              <a:schemeClr val="accent2">
                <a:lumMod val="60000"/>
              </a:schemeClr>
            </a:solidFill>
            <a:ln>
              <a:noFill/>
            </a:ln>
            <a:effectLst/>
          </c:spPr>
          <c:invertIfNegative val="0"/>
          <c:errBars>
            <c:errBarType val="both"/>
            <c:errValType val="cust"/>
            <c:noEndCap val="0"/>
            <c:plus>
              <c:numRef>
                <c:f>'Table 4'!$AV$100:$AV$110</c:f>
                <c:numCache>
                  <c:formatCode>General</c:formatCode>
                  <c:ptCount val="11"/>
                  <c:pt idx="0">
                    <c:v>0.16885175884152395</c:v>
                  </c:pt>
                  <c:pt idx="1">
                    <c:v>0.34558437241927076</c:v>
                  </c:pt>
                  <c:pt idx="2">
                    <c:v>0.16832427666801777</c:v>
                  </c:pt>
                  <c:pt idx="3">
                    <c:v>0.23316282856890855</c:v>
                  </c:pt>
                  <c:pt idx="4">
                    <c:v>9.6692051825025396E-2</c:v>
                  </c:pt>
                  <c:pt idx="5">
                    <c:v>8.8824102515730308E-2</c:v>
                  </c:pt>
                  <c:pt idx="6">
                    <c:v>0.16851892152039713</c:v>
                  </c:pt>
                  <c:pt idx="7">
                    <c:v>0.15547389489832944</c:v>
                  </c:pt>
                  <c:pt idx="8">
                    <c:v>3.861304272780499E-2</c:v>
                  </c:pt>
                  <c:pt idx="9">
                    <c:v>0.14315826853301869</c:v>
                  </c:pt>
                  <c:pt idx="10">
                    <c:v>4.4516183758154936E-2</c:v>
                  </c:pt>
                </c:numCache>
              </c:numRef>
            </c:plus>
            <c:minus>
              <c:numRef>
                <c:f>'Table 4'!$AV$100:$AV$110</c:f>
                <c:numCache>
                  <c:formatCode>General</c:formatCode>
                  <c:ptCount val="11"/>
                  <c:pt idx="0">
                    <c:v>0.16885175884152395</c:v>
                  </c:pt>
                  <c:pt idx="1">
                    <c:v>0.34558437241927076</c:v>
                  </c:pt>
                  <c:pt idx="2">
                    <c:v>0.16832427666801777</c:v>
                  </c:pt>
                  <c:pt idx="3">
                    <c:v>0.23316282856890855</c:v>
                  </c:pt>
                  <c:pt idx="4">
                    <c:v>9.6692051825025396E-2</c:v>
                  </c:pt>
                  <c:pt idx="5">
                    <c:v>8.8824102515730308E-2</c:v>
                  </c:pt>
                  <c:pt idx="6">
                    <c:v>0.16851892152039713</c:v>
                  </c:pt>
                  <c:pt idx="7">
                    <c:v>0.15547389489832944</c:v>
                  </c:pt>
                  <c:pt idx="8">
                    <c:v>3.861304272780499E-2</c:v>
                  </c:pt>
                  <c:pt idx="9">
                    <c:v>0.14315826853301869</c:v>
                  </c:pt>
                  <c:pt idx="10">
                    <c:v>4.4516183758154936E-2</c:v>
                  </c:pt>
                </c:numCache>
              </c:numRef>
            </c:minus>
            <c:spPr>
              <a:noFill/>
              <a:ln w="9525" cap="flat" cmpd="sng" algn="ctr">
                <a:solidFill>
                  <a:schemeClr val="tx1">
                    <a:lumMod val="65000"/>
                    <a:lumOff val="35000"/>
                  </a:schemeClr>
                </a:solidFill>
                <a:round/>
              </a:ln>
              <a:effectLst/>
            </c:spPr>
          </c:errBars>
          <c:cat>
            <c:strRef>
              <c:f>'Table 4'!$AC$100:$AC$110</c:f>
              <c:strCache>
                <c:ptCount val="11"/>
                <c:pt idx="0">
                  <c:v>NL</c:v>
                </c:pt>
                <c:pt idx="1">
                  <c:v>PEI</c:v>
                </c:pt>
                <c:pt idx="2">
                  <c:v>NS</c:v>
                </c:pt>
                <c:pt idx="3">
                  <c:v>NB</c:v>
                </c:pt>
                <c:pt idx="4">
                  <c:v>QC</c:v>
                </c:pt>
                <c:pt idx="5">
                  <c:v>ON</c:v>
                </c:pt>
                <c:pt idx="6">
                  <c:v>MB</c:v>
                </c:pt>
                <c:pt idx="7">
                  <c:v>SK</c:v>
                </c:pt>
                <c:pt idx="8">
                  <c:v>AB</c:v>
                </c:pt>
                <c:pt idx="9">
                  <c:v>BC</c:v>
                </c:pt>
                <c:pt idx="10">
                  <c:v>Canada</c:v>
                </c:pt>
              </c:strCache>
            </c:strRef>
          </c:cat>
          <c:val>
            <c:numRef>
              <c:f>'Table 4'!$AK$100:$AK$110</c:f>
              <c:numCache>
                <c:formatCode>0.00</c:formatCode>
                <c:ptCount val="11"/>
                <c:pt idx="0">
                  <c:v>1.337400343122414</c:v>
                </c:pt>
                <c:pt idx="1">
                  <c:v>2.0424836601307188</c:v>
                </c:pt>
                <c:pt idx="2">
                  <c:v>1.5007433800722874</c:v>
                </c:pt>
                <c:pt idx="3">
                  <c:v>1.6551780031906635</c:v>
                </c:pt>
                <c:pt idx="4">
                  <c:v>1.556313640198107</c:v>
                </c:pt>
                <c:pt idx="5">
                  <c:v>1.3039827244370918</c:v>
                </c:pt>
                <c:pt idx="6">
                  <c:v>1.2903575801726677</c:v>
                </c:pt>
                <c:pt idx="7">
                  <c:v>1.2595690961117656</c:v>
                </c:pt>
                <c:pt idx="8">
                  <c:v>1.2359733788959375</c:v>
                </c:pt>
                <c:pt idx="9">
                  <c:v>1.8396004359009117</c:v>
                </c:pt>
                <c:pt idx="10">
                  <c:v>1.4249283187284043</c:v>
                </c:pt>
              </c:numCache>
            </c:numRef>
          </c:val>
          <c:extLst>
            <c:ext xmlns:c16="http://schemas.microsoft.com/office/drawing/2014/chart" uri="{C3380CC4-5D6E-409C-BE32-E72D297353CC}">
              <c16:uniqueId val="{00000007-484F-4984-8AE3-13D4900C1C6A}"/>
            </c:ext>
          </c:extLst>
        </c:ser>
        <c:ser>
          <c:idx val="8"/>
          <c:order val="8"/>
          <c:tx>
            <c:strRef>
              <c:f>'Table 4'!$AL$99</c:f>
              <c:strCache>
                <c:ptCount val="1"/>
                <c:pt idx="0">
                  <c:v>2017-2018</c:v>
                </c:pt>
              </c:strCache>
            </c:strRef>
          </c:tx>
          <c:spPr>
            <a:solidFill>
              <a:schemeClr val="accent3">
                <a:lumMod val="60000"/>
              </a:schemeClr>
            </a:solidFill>
            <a:ln>
              <a:noFill/>
            </a:ln>
            <a:effectLst/>
          </c:spPr>
          <c:invertIfNegative val="0"/>
          <c:errBars>
            <c:errBarType val="both"/>
            <c:errValType val="cust"/>
            <c:noEndCap val="0"/>
            <c:plus>
              <c:numRef>
                <c:f>'Table 4'!$AW$100:$AW$110</c:f>
                <c:numCache>
                  <c:formatCode>General</c:formatCode>
                  <c:ptCount val="11"/>
                  <c:pt idx="0">
                    <c:v>0.1826403712067107</c:v>
                  </c:pt>
                  <c:pt idx="1">
                    <c:v>0.2650665927589968</c:v>
                  </c:pt>
                  <c:pt idx="2">
                    <c:v>0.18549648352089398</c:v>
                  </c:pt>
                  <c:pt idx="3">
                    <c:v>0.28430104704727621</c:v>
                  </c:pt>
                  <c:pt idx="4">
                    <c:v>8.8263455565905508E-2</c:v>
                  </c:pt>
                  <c:pt idx="5">
                    <c:v>9.6542163377259585E-2</c:v>
                  </c:pt>
                  <c:pt idx="6">
                    <c:v>0.18273544833984612</c:v>
                  </c:pt>
                  <c:pt idx="7">
                    <c:v>0.14849430397729177</c:v>
                  </c:pt>
                  <c:pt idx="8">
                    <c:v>4.5149367836395039E-2</c:v>
                  </c:pt>
                  <c:pt idx="9">
                    <c:v>0.15375210122736374</c:v>
                  </c:pt>
                  <c:pt idx="10">
                    <c:v>4.9692933878931644E-2</c:v>
                  </c:pt>
                </c:numCache>
              </c:numRef>
            </c:plus>
            <c:minus>
              <c:numRef>
                <c:f>'Table 4'!$AW$100:$AW$110</c:f>
                <c:numCache>
                  <c:formatCode>General</c:formatCode>
                  <c:ptCount val="11"/>
                  <c:pt idx="0">
                    <c:v>0.1826403712067107</c:v>
                  </c:pt>
                  <c:pt idx="1">
                    <c:v>0.2650665927589968</c:v>
                  </c:pt>
                  <c:pt idx="2">
                    <c:v>0.18549648352089398</c:v>
                  </c:pt>
                  <c:pt idx="3">
                    <c:v>0.28430104704727621</c:v>
                  </c:pt>
                  <c:pt idx="4">
                    <c:v>8.8263455565905508E-2</c:v>
                  </c:pt>
                  <c:pt idx="5">
                    <c:v>9.6542163377259585E-2</c:v>
                  </c:pt>
                  <c:pt idx="6">
                    <c:v>0.18273544833984612</c:v>
                  </c:pt>
                  <c:pt idx="7">
                    <c:v>0.14849430397729177</c:v>
                  </c:pt>
                  <c:pt idx="8">
                    <c:v>4.5149367836395039E-2</c:v>
                  </c:pt>
                  <c:pt idx="9">
                    <c:v>0.15375210122736374</c:v>
                  </c:pt>
                  <c:pt idx="10">
                    <c:v>4.9692933878931644E-2</c:v>
                  </c:pt>
                </c:numCache>
              </c:numRef>
            </c:minus>
            <c:spPr>
              <a:noFill/>
              <a:ln w="9525" cap="flat" cmpd="sng" algn="ctr">
                <a:solidFill>
                  <a:schemeClr val="tx1">
                    <a:lumMod val="65000"/>
                    <a:lumOff val="35000"/>
                  </a:schemeClr>
                </a:solidFill>
                <a:round/>
              </a:ln>
              <a:effectLst/>
            </c:spPr>
          </c:errBars>
          <c:cat>
            <c:strRef>
              <c:f>'Table 4'!$AC$100:$AC$110</c:f>
              <c:strCache>
                <c:ptCount val="11"/>
                <c:pt idx="0">
                  <c:v>NL</c:v>
                </c:pt>
                <c:pt idx="1">
                  <c:v>PEI</c:v>
                </c:pt>
                <c:pt idx="2">
                  <c:v>NS</c:v>
                </c:pt>
                <c:pt idx="3">
                  <c:v>NB</c:v>
                </c:pt>
                <c:pt idx="4">
                  <c:v>QC</c:v>
                </c:pt>
                <c:pt idx="5">
                  <c:v>ON</c:v>
                </c:pt>
                <c:pt idx="6">
                  <c:v>MB</c:v>
                </c:pt>
                <c:pt idx="7">
                  <c:v>SK</c:v>
                </c:pt>
                <c:pt idx="8">
                  <c:v>AB</c:v>
                </c:pt>
                <c:pt idx="9">
                  <c:v>BC</c:v>
                </c:pt>
                <c:pt idx="10">
                  <c:v>Canada</c:v>
                </c:pt>
              </c:strCache>
            </c:strRef>
          </c:cat>
          <c:val>
            <c:numRef>
              <c:f>'Table 4'!$AL$100:$AL$110</c:f>
              <c:numCache>
                <c:formatCode>0.00</c:formatCode>
                <c:ptCount val="11"/>
                <c:pt idx="0">
                  <c:v>1.4765598862495819</c:v>
                </c:pt>
                <c:pt idx="1">
                  <c:v>1.6990052021538742</c:v>
                </c:pt>
                <c:pt idx="2">
                  <c:v>1.5878196569785354</c:v>
                </c:pt>
                <c:pt idx="3">
                  <c:v>2.0077036622024931</c:v>
                </c:pt>
                <c:pt idx="4">
                  <c:v>1.5914308064898051</c:v>
                </c:pt>
                <c:pt idx="5">
                  <c:v>1.4172877592704685</c:v>
                </c:pt>
                <c:pt idx="6">
                  <c:v>1.3413243760905273</c:v>
                </c:pt>
                <c:pt idx="7">
                  <c:v>1.1620994595774878</c:v>
                </c:pt>
                <c:pt idx="8">
                  <c:v>1.3764027707705524</c:v>
                </c:pt>
                <c:pt idx="9">
                  <c:v>1.9757324207459477</c:v>
                </c:pt>
                <c:pt idx="10">
                  <c:v>1.5149158262088431</c:v>
                </c:pt>
              </c:numCache>
            </c:numRef>
          </c:val>
          <c:extLst>
            <c:ext xmlns:c16="http://schemas.microsoft.com/office/drawing/2014/chart" uri="{C3380CC4-5D6E-409C-BE32-E72D297353CC}">
              <c16:uniqueId val="{00000008-484F-4984-8AE3-13D4900C1C6A}"/>
            </c:ext>
          </c:extLst>
        </c:ser>
        <c:dLbls>
          <c:showLegendKey val="0"/>
          <c:showVal val="0"/>
          <c:showCatName val="0"/>
          <c:showSerName val="0"/>
          <c:showPercent val="0"/>
          <c:showBubbleSize val="0"/>
        </c:dLbls>
        <c:gapWidth val="219"/>
        <c:overlap val="-27"/>
        <c:axId val="735653864"/>
        <c:axId val="735651240"/>
      </c:barChart>
      <c:catAx>
        <c:axId val="735653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651240"/>
        <c:crosses val="autoZero"/>
        <c:auto val="1"/>
        <c:lblAlgn val="ctr"/>
        <c:lblOffset val="100"/>
        <c:noMultiLvlLbl val="0"/>
      </c:catAx>
      <c:valAx>
        <c:axId val="73565124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35653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8">
  <a:schemeClr val="accent5"/>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Drop" dropStyle="combo" dx="16" fmlaLink="$B$12" fmlaRange="$B$3:$B$10" noThreeD="1" sel="6" val="0"/>
</file>

<file path=xl/ctrlProps/ctrlProp10.xml><?xml version="1.0" encoding="utf-8"?>
<formControlPr xmlns="http://schemas.microsoft.com/office/spreadsheetml/2009/9/main" objectType="Drop" dropStyle="combo" dx="16" fmlaLink="$B$33" fmlaRange="$B$28:$B$32" noThreeD="1" sel="2" val="0"/>
</file>

<file path=xl/ctrlProps/ctrlProp11.xml><?xml version="1.0" encoding="utf-8"?>
<formControlPr xmlns="http://schemas.microsoft.com/office/spreadsheetml/2009/9/main" objectType="Drop" dropStyle="combo" dx="16" fmlaLink="$B$25" fmlaRange="$B$16:$B$24" noThreeD="1" sel="9" val="0"/>
</file>

<file path=xl/ctrlProps/ctrlProp12.xml><?xml version="1.0" encoding="utf-8"?>
<formControlPr xmlns="http://schemas.microsoft.com/office/spreadsheetml/2009/9/main" objectType="Drop" dropStyle="combo" dx="16" fmlaLink="$B$12" fmlaRange="$B$4:$B$11" noThreeD="1" sel="6" val="0"/>
</file>

<file path=xl/ctrlProps/ctrlProp13.xml><?xml version="1.0" encoding="utf-8"?>
<formControlPr xmlns="http://schemas.microsoft.com/office/spreadsheetml/2009/9/main" objectType="Drop" dropStyle="combo" dx="16" fmlaLink="$B$24" fmlaRange="$B$15:$B$23" noThreeD="1" sel="9" val="0"/>
</file>

<file path=xl/ctrlProps/ctrlProp2.xml><?xml version="1.0" encoding="utf-8"?>
<formControlPr xmlns="http://schemas.microsoft.com/office/spreadsheetml/2009/9/main" objectType="Drop" dropStyle="combo" dx="16" fmlaLink="$B$26" fmlaRange="$B$14:$B$24" noThreeD="1" sel="5" val="3"/>
</file>

<file path=xl/ctrlProps/ctrlProp3.xml><?xml version="1.0" encoding="utf-8"?>
<formControlPr xmlns="http://schemas.microsoft.com/office/spreadsheetml/2009/9/main" objectType="Drop" dropStyle="combo" dx="16" fmlaLink="$B$37" fmlaRange="$B$28:$B$32" noThreeD="1" sel="2" val="0"/>
</file>

<file path=xl/ctrlProps/ctrlProp4.xml><?xml version="1.0" encoding="utf-8"?>
<formControlPr xmlns="http://schemas.microsoft.com/office/spreadsheetml/2009/9/main" objectType="Drop" dropStyle="combo" dx="16" fmlaLink="$B$11" fmlaRange="$B$3:$B$10" noThreeD="1" sel="6" val="0"/>
</file>

<file path=xl/ctrlProps/ctrlProp5.xml><?xml version="1.0" encoding="utf-8"?>
<formControlPr xmlns="http://schemas.microsoft.com/office/spreadsheetml/2009/9/main" objectType="Drop" dropStyle="combo" dx="16" fmlaLink="$B$25" fmlaRange="$B$14:$B$24" noThreeD="1" sel="10" val="3"/>
</file>

<file path=xl/ctrlProps/ctrlProp6.xml><?xml version="1.0" encoding="utf-8"?>
<formControlPr xmlns="http://schemas.microsoft.com/office/spreadsheetml/2009/9/main" objectType="Drop" dropStyle="combo" dx="16" fmlaLink="$B$36" fmlaRange="$B$28:$B$32" noThreeD="1" sel="2" val="0"/>
</file>

<file path=xl/ctrlProps/ctrlProp7.xml><?xml version="1.0" encoding="utf-8"?>
<formControlPr xmlns="http://schemas.microsoft.com/office/spreadsheetml/2009/9/main" objectType="Drop" dropStyle="combo" dx="16" fmlaLink="$B$11" fmlaRange="$B$3:$B$10" noThreeD="1" sel="6" val="0"/>
</file>

<file path=xl/ctrlProps/ctrlProp8.xml><?xml version="1.0" encoding="utf-8"?>
<formControlPr xmlns="http://schemas.microsoft.com/office/spreadsheetml/2009/9/main" objectType="Drop" dropStyle="combo" dx="16" fmlaLink="$B$35" fmlaRange="$B$28:$B$32" noThreeD="1" sel="2" val="0"/>
</file>

<file path=xl/ctrlProps/ctrlProp9.xml><?xml version="1.0" encoding="utf-8"?>
<formControlPr xmlns="http://schemas.microsoft.com/office/spreadsheetml/2009/9/main" objectType="Drop" dropStyle="combo" dx="16" fmlaLink="$B$12" fmlaRange="$B$4:$B$11" noThreeD="1" sel="2" val="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251460</xdr:colOff>
          <xdr:row>4</xdr:row>
          <xdr:rowOff>7620</xdr:rowOff>
        </xdr:from>
        <xdr:to>
          <xdr:col>6</xdr:col>
          <xdr:colOff>708660</xdr:colOff>
          <xdr:row>5</xdr:row>
          <xdr:rowOff>68580</xdr:rowOff>
        </xdr:to>
        <xdr:sp macro="" textlink="">
          <xdr:nvSpPr>
            <xdr:cNvPr id="25601" name="Drop Down 1" hidden="1">
              <a:extLst>
                <a:ext uri="{63B3BB69-23CF-44E3-9099-C40C66FF867C}">
                  <a14:compatExt spid="_x0000_s25601"/>
                </a:ext>
                <a:ext uri="{FF2B5EF4-FFF2-40B4-BE49-F238E27FC236}">
                  <a16:creationId xmlns:a16="http://schemas.microsoft.com/office/drawing/2014/main" id="{00000000-0008-0000-0100-000001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5</xdr:row>
          <xdr:rowOff>182880</xdr:rowOff>
        </xdr:from>
        <xdr:to>
          <xdr:col>6</xdr:col>
          <xdr:colOff>708660</xdr:colOff>
          <xdr:row>7</xdr:row>
          <xdr:rowOff>0</xdr:rowOff>
        </xdr:to>
        <xdr:sp macro="" textlink="">
          <xdr:nvSpPr>
            <xdr:cNvPr id="25602" name="Drop Down 2" hidden="1">
              <a:extLst>
                <a:ext uri="{63B3BB69-23CF-44E3-9099-C40C66FF867C}">
                  <a14:compatExt spid="_x0000_s25602"/>
                </a:ext>
                <a:ext uri="{FF2B5EF4-FFF2-40B4-BE49-F238E27FC236}">
                  <a16:creationId xmlns:a16="http://schemas.microsoft.com/office/drawing/2014/main" id="{00000000-0008-0000-0100-000002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7</xdr:row>
          <xdr:rowOff>182880</xdr:rowOff>
        </xdr:from>
        <xdr:to>
          <xdr:col>6</xdr:col>
          <xdr:colOff>708660</xdr:colOff>
          <xdr:row>9</xdr:row>
          <xdr:rowOff>60960</xdr:rowOff>
        </xdr:to>
        <xdr:sp macro="" textlink="">
          <xdr:nvSpPr>
            <xdr:cNvPr id="25603" name="Drop Down 3" hidden="1">
              <a:extLst>
                <a:ext uri="{63B3BB69-23CF-44E3-9099-C40C66FF867C}">
                  <a14:compatExt spid="_x0000_s25603"/>
                </a:ext>
                <a:ext uri="{FF2B5EF4-FFF2-40B4-BE49-F238E27FC236}">
                  <a16:creationId xmlns:a16="http://schemas.microsoft.com/office/drawing/2014/main" id="{00000000-0008-0000-0100-000003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8</xdr:col>
      <xdr:colOff>240505</xdr:colOff>
      <xdr:row>11</xdr:row>
      <xdr:rowOff>185392</xdr:rowOff>
    </xdr:from>
    <xdr:to>
      <xdr:col>16</xdr:col>
      <xdr:colOff>602386</xdr:colOff>
      <xdr:row>26</xdr:row>
      <xdr:rowOff>71092</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613834</xdr:colOff>
      <xdr:row>12</xdr:row>
      <xdr:rowOff>20990</xdr:rowOff>
    </xdr:from>
    <xdr:to>
      <xdr:col>26</xdr:col>
      <xdr:colOff>518584</xdr:colOff>
      <xdr:row>26</xdr:row>
      <xdr:rowOff>96361</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7</xdr:col>
          <xdr:colOff>251460</xdr:colOff>
          <xdr:row>4</xdr:row>
          <xdr:rowOff>22860</xdr:rowOff>
        </xdr:from>
        <xdr:to>
          <xdr:col>10</xdr:col>
          <xdr:colOff>22860</xdr:colOff>
          <xdr:row>5</xdr:row>
          <xdr:rowOff>83820</xdr:rowOff>
        </xdr:to>
        <xdr:sp macro="" textlink="">
          <xdr:nvSpPr>
            <xdr:cNvPr id="25605" name="Drop Down 5" hidden="1">
              <a:extLst>
                <a:ext uri="{63B3BB69-23CF-44E3-9099-C40C66FF867C}">
                  <a14:compatExt spid="_x0000_s25605"/>
                </a:ext>
                <a:ext uri="{FF2B5EF4-FFF2-40B4-BE49-F238E27FC236}">
                  <a16:creationId xmlns:a16="http://schemas.microsoft.com/office/drawing/2014/main" id="{00000000-0008-0000-0100-000005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6</xdr:row>
          <xdr:rowOff>0</xdr:rowOff>
        </xdr:from>
        <xdr:to>
          <xdr:col>10</xdr:col>
          <xdr:colOff>45720</xdr:colOff>
          <xdr:row>7</xdr:row>
          <xdr:rowOff>22860</xdr:rowOff>
        </xdr:to>
        <xdr:sp macro="" textlink="">
          <xdr:nvSpPr>
            <xdr:cNvPr id="25606" name="Drop Down 6" hidden="1">
              <a:extLst>
                <a:ext uri="{63B3BB69-23CF-44E3-9099-C40C66FF867C}">
                  <a14:compatExt spid="_x0000_s25606"/>
                </a:ext>
                <a:ext uri="{FF2B5EF4-FFF2-40B4-BE49-F238E27FC236}">
                  <a16:creationId xmlns:a16="http://schemas.microsoft.com/office/drawing/2014/main" id="{00000000-0008-0000-0100-000006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8</xdr:row>
          <xdr:rowOff>0</xdr:rowOff>
        </xdr:from>
        <xdr:to>
          <xdr:col>10</xdr:col>
          <xdr:colOff>22860</xdr:colOff>
          <xdr:row>9</xdr:row>
          <xdr:rowOff>60960</xdr:rowOff>
        </xdr:to>
        <xdr:sp macro="" textlink="">
          <xdr:nvSpPr>
            <xdr:cNvPr id="25607" name="Drop Down 7" hidden="1">
              <a:extLst>
                <a:ext uri="{63B3BB69-23CF-44E3-9099-C40C66FF867C}">
                  <a14:compatExt spid="_x0000_s25607"/>
                </a:ext>
                <a:ext uri="{FF2B5EF4-FFF2-40B4-BE49-F238E27FC236}">
                  <a16:creationId xmlns:a16="http://schemas.microsoft.com/office/drawing/2014/main" id="{00000000-0008-0000-0100-0000076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251460</xdr:colOff>
          <xdr:row>4</xdr:row>
          <xdr:rowOff>7620</xdr:rowOff>
        </xdr:from>
        <xdr:to>
          <xdr:col>6</xdr:col>
          <xdr:colOff>708660</xdr:colOff>
          <xdr:row>5</xdr:row>
          <xdr:rowOff>76200</xdr:rowOff>
        </xdr:to>
        <xdr:sp macro="" textlink="">
          <xdr:nvSpPr>
            <xdr:cNvPr id="40961" name="Drop Down 1" hidden="1">
              <a:extLst>
                <a:ext uri="{63B3BB69-23CF-44E3-9099-C40C66FF867C}">
                  <a14:compatExt spid="_x0000_s40961"/>
                </a:ext>
                <a:ext uri="{FF2B5EF4-FFF2-40B4-BE49-F238E27FC236}">
                  <a16:creationId xmlns:a16="http://schemas.microsoft.com/office/drawing/2014/main" id="{00000000-0008-0000-0200-000001A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7</xdr:row>
          <xdr:rowOff>182880</xdr:rowOff>
        </xdr:from>
        <xdr:to>
          <xdr:col>6</xdr:col>
          <xdr:colOff>708660</xdr:colOff>
          <xdr:row>9</xdr:row>
          <xdr:rowOff>60960</xdr:rowOff>
        </xdr:to>
        <xdr:sp macro="" textlink="">
          <xdr:nvSpPr>
            <xdr:cNvPr id="40963" name="Drop Down 3" hidden="1">
              <a:extLst>
                <a:ext uri="{63B3BB69-23CF-44E3-9099-C40C66FF867C}">
                  <a14:compatExt spid="_x0000_s40963"/>
                </a:ext>
                <a:ext uri="{FF2B5EF4-FFF2-40B4-BE49-F238E27FC236}">
                  <a16:creationId xmlns:a16="http://schemas.microsoft.com/office/drawing/2014/main" id="{00000000-0008-0000-0200-000003A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8</xdr:col>
      <xdr:colOff>170231</xdr:colOff>
      <xdr:row>11</xdr:row>
      <xdr:rowOff>137582</xdr:rowOff>
    </xdr:from>
    <xdr:to>
      <xdr:col>26</xdr:col>
      <xdr:colOff>588856</xdr:colOff>
      <xdr:row>36</xdr:row>
      <xdr:rowOff>16298</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525780</xdr:colOff>
          <xdr:row>3</xdr:row>
          <xdr:rowOff>83820</xdr:rowOff>
        </xdr:from>
        <xdr:to>
          <xdr:col>9</xdr:col>
          <xdr:colOff>152400</xdr:colOff>
          <xdr:row>3</xdr:row>
          <xdr:rowOff>304800</xdr:rowOff>
        </xdr:to>
        <xdr:sp macro="" textlink="">
          <xdr:nvSpPr>
            <xdr:cNvPr id="26625" name="Drop Down 1" hidden="1">
              <a:extLst>
                <a:ext uri="{63B3BB69-23CF-44E3-9099-C40C66FF867C}">
                  <a14:compatExt spid="_x0000_s26625"/>
                </a:ext>
                <a:ext uri="{FF2B5EF4-FFF2-40B4-BE49-F238E27FC236}">
                  <a16:creationId xmlns:a16="http://schemas.microsoft.com/office/drawing/2014/main" id="{00000000-0008-0000-0300-000001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525780</xdr:colOff>
          <xdr:row>4</xdr:row>
          <xdr:rowOff>30480</xdr:rowOff>
        </xdr:from>
        <xdr:to>
          <xdr:col>9</xdr:col>
          <xdr:colOff>152400</xdr:colOff>
          <xdr:row>5</xdr:row>
          <xdr:rowOff>45720</xdr:rowOff>
        </xdr:to>
        <xdr:sp macro="" textlink="">
          <xdr:nvSpPr>
            <xdr:cNvPr id="26626" name="Drop Down 2" hidden="1">
              <a:extLst>
                <a:ext uri="{63B3BB69-23CF-44E3-9099-C40C66FF867C}">
                  <a14:compatExt spid="_x0000_s26626"/>
                </a:ext>
                <a:ext uri="{FF2B5EF4-FFF2-40B4-BE49-F238E27FC236}">
                  <a16:creationId xmlns:a16="http://schemas.microsoft.com/office/drawing/2014/main" id="{00000000-0008-0000-0300-000002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12</xdr:col>
      <xdr:colOff>381000</xdr:colOff>
      <xdr:row>11</xdr:row>
      <xdr:rowOff>38285</xdr:rowOff>
    </xdr:from>
    <xdr:to>
      <xdr:col>18</xdr:col>
      <xdr:colOff>560916</xdr:colOff>
      <xdr:row>28</xdr:row>
      <xdr:rowOff>114485</xdr:rowOff>
    </xdr:to>
    <xdr:graphicFrame macro="">
      <xdr:nvGraphicFramePr>
        <xdr:cNvPr id="3" name="Chart 2">
          <a:extLst>
            <a:ext uri="{FF2B5EF4-FFF2-40B4-BE49-F238E27FC236}">
              <a16:creationId xmlns:a16="http://schemas.microsoft.com/office/drawing/2014/main" id="{00000000-0008-0000-03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5</xdr:col>
          <xdr:colOff>487680</xdr:colOff>
          <xdr:row>6</xdr:row>
          <xdr:rowOff>7620</xdr:rowOff>
        </xdr:from>
        <xdr:to>
          <xdr:col>9</xdr:col>
          <xdr:colOff>137160</xdr:colOff>
          <xdr:row>7</xdr:row>
          <xdr:rowOff>45720</xdr:rowOff>
        </xdr:to>
        <xdr:sp macro="" textlink="">
          <xdr:nvSpPr>
            <xdr:cNvPr id="26627" name="Drop Down 3" hidden="1">
              <a:extLst>
                <a:ext uri="{63B3BB69-23CF-44E3-9099-C40C66FF867C}">
                  <a14:compatExt spid="_x0000_s26627"/>
                </a:ext>
                <a:ext uri="{FF2B5EF4-FFF2-40B4-BE49-F238E27FC236}">
                  <a16:creationId xmlns:a16="http://schemas.microsoft.com/office/drawing/2014/main" id="{00000000-0008-0000-0300-000003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5</xdr:col>
      <xdr:colOff>529166</xdr:colOff>
      <xdr:row>11</xdr:row>
      <xdr:rowOff>31750</xdr:rowOff>
    </xdr:from>
    <xdr:to>
      <xdr:col>12</xdr:col>
      <xdr:colOff>232832</xdr:colOff>
      <xdr:row>28</xdr:row>
      <xdr:rowOff>107950</xdr:rowOff>
    </xdr:to>
    <xdr:graphicFrame macro="">
      <xdr:nvGraphicFramePr>
        <xdr:cNvPr id="9" name="Chart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160259</xdr:colOff>
      <xdr:row>11</xdr:row>
      <xdr:rowOff>48814</xdr:rowOff>
    </xdr:from>
    <xdr:to>
      <xdr:col>26</xdr:col>
      <xdr:colOff>226218</xdr:colOff>
      <xdr:row>28</xdr:row>
      <xdr:rowOff>119062</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525780</xdr:colOff>
          <xdr:row>3</xdr:row>
          <xdr:rowOff>83820</xdr:rowOff>
        </xdr:from>
        <xdr:to>
          <xdr:col>9</xdr:col>
          <xdr:colOff>152400</xdr:colOff>
          <xdr:row>3</xdr:row>
          <xdr:rowOff>312420</xdr:rowOff>
        </xdr:to>
        <xdr:sp macro="" textlink="">
          <xdr:nvSpPr>
            <xdr:cNvPr id="38913" name="Drop Down 1" hidden="1">
              <a:extLst>
                <a:ext uri="{63B3BB69-23CF-44E3-9099-C40C66FF867C}">
                  <a14:compatExt spid="_x0000_s38913"/>
                </a:ext>
                <a:ext uri="{FF2B5EF4-FFF2-40B4-BE49-F238E27FC236}">
                  <a16:creationId xmlns:a16="http://schemas.microsoft.com/office/drawing/2014/main" id="{00000000-0008-0000-0400-0000019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3</xdr:row>
          <xdr:rowOff>373380</xdr:rowOff>
        </xdr:from>
        <xdr:to>
          <xdr:col>9</xdr:col>
          <xdr:colOff>137160</xdr:colOff>
          <xdr:row>4</xdr:row>
          <xdr:rowOff>182880</xdr:rowOff>
        </xdr:to>
        <xdr:sp macro="" textlink="">
          <xdr:nvSpPr>
            <xdr:cNvPr id="38915" name="Drop Down 3" hidden="1">
              <a:extLst>
                <a:ext uri="{63B3BB69-23CF-44E3-9099-C40C66FF867C}">
                  <a14:compatExt spid="_x0000_s38915"/>
                </a:ext>
                <a:ext uri="{FF2B5EF4-FFF2-40B4-BE49-F238E27FC236}">
                  <a16:creationId xmlns:a16="http://schemas.microsoft.com/office/drawing/2014/main" id="{00000000-0008-0000-0400-0000039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525541</xdr:colOff>
      <xdr:row>7</xdr:row>
      <xdr:rowOff>23811</xdr:rowOff>
    </xdr:from>
    <xdr:to>
      <xdr:col>18</xdr:col>
      <xdr:colOff>51433</xdr:colOff>
      <xdr:row>23</xdr:row>
      <xdr:rowOff>73817</xdr:rowOff>
    </xdr:to>
    <xdr:graphicFrame macro="">
      <xdr:nvGraphicFramePr>
        <xdr:cNvPr id="2" name="Chart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303373</xdr:colOff>
      <xdr:row>7</xdr:row>
      <xdr:rowOff>17380</xdr:rowOff>
    </xdr:from>
    <xdr:to>
      <xdr:col>32</xdr:col>
      <xdr:colOff>246221</xdr:colOff>
      <xdr:row>23</xdr:row>
      <xdr:rowOff>31906</xdr:rowOff>
    </xdr:to>
    <xdr:graphicFrame macro="">
      <xdr:nvGraphicFramePr>
        <xdr:cNvPr id="3" name="Chart 2">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M31"/>
  <sheetViews>
    <sheetView showGridLines="0" tabSelected="1" topLeftCell="A16" workbookViewId="0">
      <selection activeCell="B30" sqref="B30:B31"/>
    </sheetView>
  </sheetViews>
  <sheetFormatPr defaultColWidth="9.109375" defaultRowHeight="14.4" x14ac:dyDescent="0.3"/>
  <cols>
    <col min="1" max="1" width="9.109375" style="115"/>
    <col min="2" max="2" width="9.6640625" style="115" bestFit="1" customWidth="1"/>
    <col min="3" max="16384" width="9.109375" style="115"/>
  </cols>
  <sheetData>
    <row r="2" spans="2:13" x14ac:dyDescent="0.3">
      <c r="B2" s="114"/>
      <c r="C2" s="114"/>
      <c r="D2" s="114"/>
      <c r="E2" s="114"/>
      <c r="F2" s="114"/>
      <c r="G2" s="114"/>
    </row>
    <row r="5" spans="2:13" ht="28.8" x14ac:dyDescent="0.55000000000000004">
      <c r="B5" s="116" t="s">
        <v>178</v>
      </c>
    </row>
    <row r="6" spans="2:13" ht="21" x14ac:dyDescent="0.4">
      <c r="B6" s="117" t="s">
        <v>120</v>
      </c>
    </row>
    <row r="9" spans="2:13" x14ac:dyDescent="0.3">
      <c r="B9" s="115" t="s">
        <v>121</v>
      </c>
    </row>
    <row r="10" spans="2:13" x14ac:dyDescent="0.3">
      <c r="B10" s="118">
        <v>44138</v>
      </c>
    </row>
    <row r="13" spans="2:13" ht="33" customHeight="1" x14ac:dyDescent="0.3">
      <c r="B13" s="293" t="s">
        <v>180</v>
      </c>
      <c r="C13" s="293"/>
      <c r="D13" s="293"/>
      <c r="E13" s="293"/>
      <c r="F13" s="293"/>
      <c r="G13" s="293"/>
      <c r="H13" s="293"/>
      <c r="I13" s="293"/>
      <c r="J13" s="293"/>
      <c r="K13" s="293"/>
      <c r="L13" s="293"/>
    </row>
    <row r="15" spans="2:13" ht="46.8" customHeight="1" x14ac:dyDescent="0.3">
      <c r="B15" s="293" t="s">
        <v>179</v>
      </c>
      <c r="C15" s="293"/>
      <c r="D15" s="293"/>
      <c r="E15" s="293"/>
      <c r="F15" s="293"/>
      <c r="G15" s="293"/>
      <c r="H15" s="293"/>
      <c r="I15" s="293"/>
      <c r="J15" s="293"/>
      <c r="K15" s="293"/>
      <c r="L15" s="293"/>
      <c r="M15" s="293"/>
    </row>
    <row r="17" spans="2:13" x14ac:dyDescent="0.3">
      <c r="B17" s="115" t="s">
        <v>181</v>
      </c>
    </row>
    <row r="20" spans="2:13" s="281" customFormat="1" ht="31.8" customHeight="1" x14ac:dyDescent="0.3">
      <c r="C20" s="294" t="s">
        <v>189</v>
      </c>
      <c r="D20" s="294"/>
      <c r="E20" s="294"/>
      <c r="F20" s="294"/>
      <c r="G20" s="294"/>
      <c r="H20" s="294"/>
      <c r="I20" s="294"/>
      <c r="J20" s="294"/>
      <c r="K20" s="294"/>
      <c r="L20" s="294"/>
      <c r="M20" s="294"/>
    </row>
    <row r="21" spans="2:13" s="281" customFormat="1" ht="31.8" customHeight="1" x14ac:dyDescent="0.3">
      <c r="C21" s="282"/>
      <c r="D21" s="282"/>
      <c r="E21" s="282"/>
      <c r="F21" s="282"/>
      <c r="G21" s="282"/>
      <c r="H21" s="282"/>
      <c r="I21" s="282"/>
      <c r="J21" s="282"/>
      <c r="K21" s="282"/>
      <c r="L21" s="282"/>
      <c r="M21" s="282"/>
    </row>
    <row r="22" spans="2:13" x14ac:dyDescent="0.3">
      <c r="B22" s="280" t="s">
        <v>182</v>
      </c>
      <c r="C22" s="115" t="s">
        <v>188</v>
      </c>
    </row>
    <row r="23" spans="2:13" x14ac:dyDescent="0.3">
      <c r="B23" s="280" t="s">
        <v>183</v>
      </c>
      <c r="C23" s="115" t="s">
        <v>192</v>
      </c>
    </row>
    <row r="24" spans="2:13" x14ac:dyDescent="0.3">
      <c r="B24" s="280" t="s">
        <v>184</v>
      </c>
      <c r="C24" s="115" t="s">
        <v>186</v>
      </c>
    </row>
    <row r="25" spans="2:13" x14ac:dyDescent="0.3">
      <c r="B25" s="280"/>
      <c r="C25" s="115" t="s">
        <v>187</v>
      </c>
    </row>
    <row r="26" spans="2:13" x14ac:dyDescent="0.3">
      <c r="B26" s="280" t="s">
        <v>191</v>
      </c>
      <c r="C26" s="115" t="s">
        <v>185</v>
      </c>
    </row>
    <row r="30" spans="2:13" x14ac:dyDescent="0.3">
      <c r="B30" s="296" t="s">
        <v>197</v>
      </c>
    </row>
    <row r="31" spans="2:13" x14ac:dyDescent="0.3">
      <c r="B31" s="296" t="s">
        <v>198</v>
      </c>
    </row>
  </sheetData>
  <mergeCells count="3">
    <mergeCell ref="B13:L13"/>
    <mergeCell ref="B15:M15"/>
    <mergeCell ref="C20:M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1:BP666"/>
  <sheetViews>
    <sheetView showZeros="0" zoomScale="70" zoomScaleNormal="70" workbookViewId="0">
      <selection activeCell="N155" sqref="N155"/>
    </sheetView>
  </sheetViews>
  <sheetFormatPr defaultColWidth="9.109375" defaultRowHeight="12" x14ac:dyDescent="0.3"/>
  <cols>
    <col min="1" max="1" width="4.44140625" style="83" customWidth="1"/>
    <col min="2" max="2" width="9.109375" style="11" hidden="1" customWidth="1"/>
    <col min="3" max="4" width="4" style="82" customWidth="1"/>
    <col min="5" max="5" width="6.44140625" style="180" customWidth="1"/>
    <col min="6" max="6" width="25.33203125" style="107" customWidth="1"/>
    <col min="7" max="7" width="16.33203125" style="111" customWidth="1"/>
    <col min="8" max="8" width="14.5546875" style="56" customWidth="1"/>
    <col min="9" max="16" width="10.5546875" style="56" customWidth="1"/>
    <col min="17" max="17" width="10.5546875" style="83" customWidth="1"/>
    <col min="18" max="18" width="9.109375" style="108"/>
    <col min="19" max="27" width="9.109375" style="83" customWidth="1"/>
    <col min="28" max="28" width="9.109375" style="83"/>
    <col min="29" max="29" width="9.109375" style="108" customWidth="1"/>
    <col min="30" max="39" width="9.109375" style="83" hidden="1" customWidth="1"/>
    <col min="40" max="40" width="0" style="108" hidden="1" customWidth="1"/>
    <col min="41" max="43" width="9.109375" style="83" hidden="1" customWidth="1"/>
    <col min="44" max="46" width="0" style="83" hidden="1" customWidth="1"/>
    <col min="47" max="49" width="9.109375" style="83"/>
    <col min="50" max="51" width="9.109375" style="108"/>
    <col min="52" max="60" width="9.109375" style="83"/>
    <col min="61" max="68" width="9.109375" style="108"/>
    <col min="69" max="16384" width="9.109375" style="83"/>
  </cols>
  <sheetData>
    <row r="1" spans="2:47" ht="12.6" thickBot="1" x14ac:dyDescent="0.35"/>
    <row r="2" spans="2:47" x14ac:dyDescent="0.3">
      <c r="E2" s="139"/>
      <c r="F2" s="57"/>
      <c r="G2" s="57"/>
      <c r="H2" s="57"/>
      <c r="I2" s="57"/>
      <c r="J2" s="57"/>
      <c r="K2" s="57"/>
      <c r="L2" s="57"/>
      <c r="M2" s="57"/>
      <c r="N2" s="57"/>
      <c r="O2" s="57"/>
      <c r="P2" s="57"/>
      <c r="Q2" s="140"/>
      <c r="R2" s="140"/>
      <c r="S2" s="140"/>
      <c r="T2" s="140"/>
      <c r="U2" s="140"/>
      <c r="V2" s="140"/>
      <c r="W2" s="140"/>
      <c r="X2" s="140"/>
      <c r="Y2" s="140"/>
      <c r="Z2" s="140"/>
      <c r="AA2" s="140"/>
      <c r="AB2" s="140"/>
      <c r="AC2" s="140"/>
      <c r="AD2" s="141"/>
      <c r="AQ2" s="123" t="s">
        <v>133</v>
      </c>
      <c r="AU2" s="258"/>
    </row>
    <row r="3" spans="2:47" x14ac:dyDescent="0.3">
      <c r="B3" s="82" t="s">
        <v>103</v>
      </c>
      <c r="E3" s="142"/>
      <c r="F3" s="58"/>
      <c r="G3" s="58"/>
      <c r="H3" s="58"/>
      <c r="I3" s="55"/>
      <c r="J3" s="58"/>
      <c r="K3" s="55"/>
      <c r="L3" s="55"/>
      <c r="M3" s="55"/>
      <c r="N3" s="55"/>
      <c r="O3" s="55"/>
      <c r="P3" s="55"/>
      <c r="Q3" s="99"/>
      <c r="R3" s="99"/>
      <c r="S3" s="99"/>
      <c r="T3" s="99"/>
      <c r="U3" s="99"/>
      <c r="V3" s="99"/>
      <c r="W3" s="99"/>
      <c r="X3" s="99"/>
      <c r="Y3" s="99"/>
      <c r="Z3" s="99"/>
      <c r="AA3" s="99"/>
      <c r="AB3" s="99"/>
      <c r="AC3" s="99"/>
      <c r="AD3" s="143"/>
      <c r="AQ3" s="123" t="s">
        <v>134</v>
      </c>
      <c r="AU3" s="230"/>
    </row>
    <row r="4" spans="2:47" ht="31.2" x14ac:dyDescent="0.3">
      <c r="B4" s="82" t="s">
        <v>104</v>
      </c>
      <c r="E4" s="144"/>
      <c r="F4" s="277" t="s">
        <v>47</v>
      </c>
      <c r="G4" s="55"/>
      <c r="H4" s="55"/>
      <c r="I4" s="277" t="s">
        <v>171</v>
      </c>
      <c r="J4" s="55"/>
      <c r="K4" s="55"/>
      <c r="L4" s="55"/>
      <c r="M4" s="210" t="s">
        <v>169</v>
      </c>
      <c r="N4" s="55"/>
      <c r="O4" s="55"/>
      <c r="P4" s="55"/>
      <c r="Q4" s="99"/>
      <c r="R4" s="99"/>
      <c r="S4" s="99"/>
      <c r="T4" s="99"/>
      <c r="U4" s="99"/>
      <c r="V4" s="99"/>
      <c r="W4" s="99"/>
      <c r="X4" s="99"/>
      <c r="Y4" s="99"/>
      <c r="Z4" s="99"/>
      <c r="AA4" s="99"/>
      <c r="AB4" s="99"/>
      <c r="AC4" s="99"/>
      <c r="AD4" s="143"/>
      <c r="AQ4" s="83" t="s">
        <v>142</v>
      </c>
      <c r="AU4" s="230"/>
    </row>
    <row r="5" spans="2:47" x14ac:dyDescent="0.3">
      <c r="B5" s="82" t="s">
        <v>105</v>
      </c>
      <c r="E5" s="144"/>
      <c r="F5" s="55"/>
      <c r="G5" s="55"/>
      <c r="H5" s="55"/>
      <c r="I5" s="55"/>
      <c r="J5" s="55"/>
      <c r="K5" s="55"/>
      <c r="L5" s="55"/>
      <c r="M5" s="55"/>
      <c r="N5" s="55"/>
      <c r="O5" s="55"/>
      <c r="P5" s="55"/>
      <c r="Q5" s="99"/>
      <c r="R5" s="99"/>
      <c r="S5" s="99"/>
      <c r="T5" s="99"/>
      <c r="U5" s="99"/>
      <c r="V5" s="99"/>
      <c r="W5" s="99"/>
      <c r="X5" s="99"/>
      <c r="Y5" s="99"/>
      <c r="Z5" s="99"/>
      <c r="AA5" s="99"/>
      <c r="AB5" s="99"/>
      <c r="AC5" s="99"/>
      <c r="AD5" s="143"/>
      <c r="AU5" s="230"/>
    </row>
    <row r="6" spans="2:47" ht="15.6" x14ac:dyDescent="0.3">
      <c r="B6" s="82" t="s">
        <v>106</v>
      </c>
      <c r="E6" s="144"/>
      <c r="F6" s="55"/>
      <c r="G6" s="55"/>
      <c r="H6" s="55"/>
      <c r="I6" s="55"/>
      <c r="J6" s="55"/>
      <c r="K6" s="55"/>
      <c r="L6" s="55"/>
      <c r="M6" s="211" t="s">
        <v>42</v>
      </c>
      <c r="N6" s="58"/>
      <c r="O6" s="58"/>
      <c r="P6" s="58"/>
      <c r="Q6" s="145"/>
      <c r="R6" s="145"/>
      <c r="S6" s="145"/>
      <c r="T6" s="145"/>
      <c r="U6" s="145"/>
      <c r="V6" s="145"/>
      <c r="W6" s="99"/>
      <c r="X6" s="99"/>
      <c r="Y6" s="99"/>
      <c r="Z6" s="99"/>
      <c r="AA6" s="99"/>
      <c r="AB6" s="99"/>
      <c r="AC6" s="99"/>
      <c r="AD6" s="143"/>
      <c r="AU6" s="230"/>
    </row>
    <row r="7" spans="2:47" ht="15.6" x14ac:dyDescent="0.3">
      <c r="B7" s="82" t="s">
        <v>56</v>
      </c>
      <c r="E7" s="144"/>
      <c r="F7" s="55"/>
      <c r="G7" s="55"/>
      <c r="H7" s="55"/>
      <c r="I7" s="55"/>
      <c r="J7" s="55"/>
      <c r="K7" s="55"/>
      <c r="L7" s="55"/>
      <c r="M7" s="211" t="s">
        <v>196</v>
      </c>
      <c r="N7" s="58"/>
      <c r="O7" s="58"/>
      <c r="P7" s="58"/>
      <c r="Q7" s="145"/>
      <c r="R7" s="145"/>
      <c r="S7" s="145"/>
      <c r="T7" s="145"/>
      <c r="U7" s="145"/>
      <c r="V7" s="145"/>
      <c r="W7" s="99"/>
      <c r="X7" s="99"/>
      <c r="Y7" s="99"/>
      <c r="Z7" s="99"/>
      <c r="AA7" s="99"/>
      <c r="AB7" s="99"/>
      <c r="AC7" s="99"/>
      <c r="AD7" s="143"/>
      <c r="AU7" s="230"/>
    </row>
    <row r="8" spans="2:47" x14ac:dyDescent="0.3">
      <c r="B8" s="82" t="s">
        <v>107</v>
      </c>
      <c r="E8" s="144"/>
      <c r="F8" s="55"/>
      <c r="G8" s="55"/>
      <c r="H8" s="55"/>
      <c r="I8" s="55"/>
      <c r="J8" s="55"/>
      <c r="K8" s="55"/>
      <c r="L8" s="55"/>
      <c r="M8" s="55"/>
      <c r="N8" s="58"/>
      <c r="O8" s="58"/>
      <c r="P8" s="58"/>
      <c r="Q8" s="145"/>
      <c r="R8" s="145"/>
      <c r="S8" s="145"/>
      <c r="T8" s="145"/>
      <c r="U8" s="145"/>
      <c r="V8" s="145"/>
      <c r="W8" s="99"/>
      <c r="X8" s="99"/>
      <c r="Y8" s="99"/>
      <c r="Z8" s="99"/>
      <c r="AA8" s="99"/>
      <c r="AB8" s="99"/>
      <c r="AC8" s="99"/>
      <c r="AD8" s="143"/>
      <c r="AU8" s="230"/>
    </row>
    <row r="9" spans="2:47" x14ac:dyDescent="0.3">
      <c r="B9" s="82" t="s">
        <v>108</v>
      </c>
      <c r="E9" s="144"/>
      <c r="F9" s="55"/>
      <c r="G9" s="55"/>
      <c r="H9" s="55"/>
      <c r="I9" s="55"/>
      <c r="J9" s="55"/>
      <c r="K9" s="55"/>
      <c r="L9" s="55"/>
      <c r="M9" s="55"/>
      <c r="N9" s="55"/>
      <c r="O9" s="55"/>
      <c r="P9" s="55"/>
      <c r="Q9" s="99"/>
      <c r="R9" s="99"/>
      <c r="S9" s="99"/>
      <c r="T9" s="99"/>
      <c r="U9" s="99"/>
      <c r="V9" s="99"/>
      <c r="W9" s="99"/>
      <c r="X9" s="99"/>
      <c r="Y9" s="99"/>
      <c r="Z9" s="99"/>
      <c r="AA9" s="99"/>
      <c r="AB9" s="99"/>
      <c r="AC9" s="99"/>
      <c r="AD9" s="143"/>
      <c r="AU9" s="230"/>
    </row>
    <row r="10" spans="2:47" x14ac:dyDescent="0.3">
      <c r="B10" s="82" t="s">
        <v>109</v>
      </c>
      <c r="E10" s="144"/>
      <c r="F10" s="55"/>
      <c r="G10" s="55"/>
      <c r="H10" s="55"/>
      <c r="I10" s="55"/>
      <c r="J10" s="55"/>
      <c r="K10" s="55"/>
      <c r="L10" s="55"/>
      <c r="M10" s="55"/>
      <c r="N10" s="55"/>
      <c r="O10" s="55"/>
      <c r="P10" s="55"/>
      <c r="Q10" s="99"/>
      <c r="R10" s="145"/>
      <c r="S10" s="99"/>
      <c r="T10" s="99"/>
      <c r="U10" s="99"/>
      <c r="V10" s="99"/>
      <c r="W10" s="99"/>
      <c r="X10" s="99"/>
      <c r="Y10" s="99"/>
      <c r="Z10" s="99"/>
      <c r="AA10" s="99"/>
      <c r="AB10" s="99"/>
      <c r="AC10" s="99"/>
      <c r="AD10" s="143"/>
      <c r="AU10" s="230"/>
    </row>
    <row r="11" spans="2:47" x14ac:dyDescent="0.3">
      <c r="B11" s="146">
        <v>6</v>
      </c>
      <c r="E11" s="144"/>
      <c r="F11" s="55"/>
      <c r="G11" s="55"/>
      <c r="H11" s="55"/>
      <c r="I11" s="55"/>
      <c r="J11" s="55"/>
      <c r="K11" s="55"/>
      <c r="L11" s="55"/>
      <c r="M11" s="55"/>
      <c r="N11" s="55"/>
      <c r="O11" s="55"/>
      <c r="P11" s="55"/>
      <c r="Q11" s="99"/>
      <c r="R11" s="145"/>
      <c r="S11" s="99"/>
      <c r="T11" s="99"/>
      <c r="U11" s="99"/>
      <c r="V11" s="99"/>
      <c r="W11" s="99"/>
      <c r="X11" s="99"/>
      <c r="Y11" s="99"/>
      <c r="Z11" s="99"/>
      <c r="AA11" s="99"/>
      <c r="AB11" s="99"/>
      <c r="AC11" s="99"/>
      <c r="AD11" s="143"/>
      <c r="AU11" s="230"/>
    </row>
    <row r="12" spans="2:47" x14ac:dyDescent="0.3">
      <c r="B12" s="146">
        <v>6</v>
      </c>
      <c r="E12" s="144"/>
      <c r="F12" s="55"/>
      <c r="G12" s="55"/>
      <c r="H12" s="55"/>
      <c r="I12" s="55"/>
      <c r="J12" s="55"/>
      <c r="K12" s="55"/>
      <c r="L12" s="55"/>
      <c r="M12" s="55"/>
      <c r="N12" s="55"/>
      <c r="O12" s="55"/>
      <c r="P12" s="55"/>
      <c r="Q12" s="99"/>
      <c r="R12" s="145"/>
      <c r="S12" s="99"/>
      <c r="T12" s="99"/>
      <c r="U12" s="99"/>
      <c r="V12" s="99"/>
      <c r="W12" s="99"/>
      <c r="X12" s="99"/>
      <c r="Y12" s="99"/>
      <c r="Z12" s="99"/>
      <c r="AA12" s="99"/>
      <c r="AB12" s="99"/>
      <c r="AC12" s="99"/>
      <c r="AD12" s="143"/>
      <c r="AU12" s="230"/>
    </row>
    <row r="13" spans="2:47" x14ac:dyDescent="0.3">
      <c r="E13" s="144"/>
      <c r="F13" s="55"/>
      <c r="G13" s="55"/>
      <c r="H13" s="55"/>
      <c r="I13" s="55"/>
      <c r="J13" s="55"/>
      <c r="K13" s="55"/>
      <c r="L13" s="55"/>
      <c r="M13" s="55"/>
      <c r="N13" s="55"/>
      <c r="O13" s="55"/>
      <c r="P13" s="55"/>
      <c r="Q13" s="99"/>
      <c r="R13" s="145"/>
      <c r="S13" s="99"/>
      <c r="T13" s="99"/>
      <c r="U13" s="99"/>
      <c r="V13" s="99"/>
      <c r="W13" s="99"/>
      <c r="X13" s="99"/>
      <c r="Y13" s="99"/>
      <c r="Z13" s="99"/>
      <c r="AA13" s="99"/>
      <c r="AB13" s="99"/>
      <c r="AC13" s="99"/>
      <c r="AD13" s="143"/>
      <c r="AU13" s="230"/>
    </row>
    <row r="14" spans="2:47" x14ac:dyDescent="0.3">
      <c r="B14" s="82" t="s">
        <v>58</v>
      </c>
      <c r="E14" s="144"/>
      <c r="F14" s="55"/>
      <c r="G14" s="55"/>
      <c r="H14" s="55"/>
      <c r="I14" s="55"/>
      <c r="J14" s="55"/>
      <c r="K14" s="55"/>
      <c r="L14" s="55"/>
      <c r="M14" s="55"/>
      <c r="N14" s="55"/>
      <c r="O14" s="55"/>
      <c r="P14" s="55"/>
      <c r="Q14" s="99"/>
      <c r="R14" s="145"/>
      <c r="S14" s="99"/>
      <c r="T14" s="99"/>
      <c r="U14" s="99"/>
      <c r="V14" s="99"/>
      <c r="W14" s="99"/>
      <c r="X14" s="99"/>
      <c r="Y14" s="99"/>
      <c r="Z14" s="99"/>
      <c r="AA14" s="99"/>
      <c r="AB14" s="99"/>
      <c r="AC14" s="99"/>
      <c r="AD14" s="143"/>
      <c r="AU14" s="230"/>
    </row>
    <row r="15" spans="2:47" x14ac:dyDescent="0.3">
      <c r="B15" s="82" t="s">
        <v>68</v>
      </c>
      <c r="E15" s="144"/>
      <c r="F15" s="55"/>
      <c r="G15" s="216"/>
      <c r="H15" s="216"/>
      <c r="I15" s="55"/>
      <c r="J15" s="55"/>
      <c r="K15" s="55"/>
      <c r="L15" s="55"/>
      <c r="M15" s="55"/>
      <c r="N15" s="55"/>
      <c r="O15" s="55"/>
      <c r="P15" s="55"/>
      <c r="Q15" s="99"/>
      <c r="R15" s="145"/>
      <c r="S15" s="99"/>
      <c r="T15" s="99"/>
      <c r="U15" s="99"/>
      <c r="V15" s="99"/>
      <c r="W15" s="99"/>
      <c r="X15" s="99"/>
      <c r="Y15" s="99"/>
      <c r="Z15" s="99"/>
      <c r="AA15" s="99"/>
      <c r="AB15" s="99"/>
      <c r="AC15" s="99"/>
      <c r="AD15" s="143"/>
      <c r="AU15" s="230"/>
    </row>
    <row r="16" spans="2:47" ht="15.6" x14ac:dyDescent="0.3">
      <c r="B16" s="82" t="s">
        <v>69</v>
      </c>
      <c r="E16" s="215"/>
      <c r="F16" s="211" t="s">
        <v>146</v>
      </c>
      <c r="G16" s="216"/>
      <c r="H16" s="216"/>
      <c r="I16" s="55"/>
      <c r="J16" s="55"/>
      <c r="K16" s="55"/>
      <c r="L16" s="55"/>
      <c r="M16" s="55"/>
      <c r="N16" s="55"/>
      <c r="O16" s="55"/>
      <c r="P16" s="55"/>
      <c r="Q16" s="99"/>
      <c r="R16" s="145"/>
      <c r="S16" s="99"/>
      <c r="T16" s="99"/>
      <c r="U16" s="99"/>
      <c r="V16" s="99"/>
      <c r="W16" s="99"/>
      <c r="X16" s="99"/>
      <c r="Y16" s="99"/>
      <c r="Z16" s="99"/>
      <c r="AA16" s="99"/>
      <c r="AB16" s="99"/>
      <c r="AC16" s="99"/>
      <c r="AD16" s="143"/>
      <c r="AU16" s="230"/>
    </row>
    <row r="17" spans="2:68" x14ac:dyDescent="0.3">
      <c r="B17" s="82" t="s">
        <v>70</v>
      </c>
      <c r="E17" s="214"/>
      <c r="F17" s="260" t="s">
        <v>147</v>
      </c>
      <c r="G17" s="216"/>
      <c r="H17" s="216"/>
      <c r="I17" s="55"/>
      <c r="J17" s="55"/>
      <c r="K17" s="55"/>
      <c r="L17" s="55"/>
      <c r="M17" s="55"/>
      <c r="N17" s="55"/>
      <c r="O17" s="55"/>
      <c r="P17" s="55"/>
      <c r="Q17" s="99"/>
      <c r="R17" s="145"/>
      <c r="S17" s="99"/>
      <c r="T17" s="99"/>
      <c r="U17" s="99"/>
      <c r="V17" s="99"/>
      <c r="W17" s="99"/>
      <c r="X17" s="99"/>
      <c r="Y17" s="99"/>
      <c r="Z17" s="99"/>
      <c r="AA17" s="99"/>
      <c r="AB17" s="99"/>
      <c r="AC17" s="99"/>
      <c r="AD17" s="143"/>
      <c r="AU17" s="230"/>
    </row>
    <row r="18" spans="2:68" x14ac:dyDescent="0.3">
      <c r="B18" s="82" t="s">
        <v>71</v>
      </c>
      <c r="E18" s="144"/>
      <c r="F18" s="229" t="s">
        <v>148</v>
      </c>
      <c r="G18" s="216"/>
      <c r="H18" s="216"/>
      <c r="I18" s="55"/>
      <c r="J18" s="55"/>
      <c r="K18" s="55"/>
      <c r="L18" s="55"/>
      <c r="M18" s="55"/>
      <c r="N18" s="55"/>
      <c r="O18" s="55"/>
      <c r="P18" s="55"/>
      <c r="Q18" s="99"/>
      <c r="R18" s="145"/>
      <c r="S18" s="99"/>
      <c r="T18" s="99"/>
      <c r="U18" s="99"/>
      <c r="V18" s="99"/>
      <c r="W18" s="99"/>
      <c r="X18" s="99"/>
      <c r="Y18" s="99"/>
      <c r="Z18" s="99"/>
      <c r="AA18" s="99"/>
      <c r="AB18" s="99"/>
      <c r="AC18" s="99"/>
      <c r="AD18" s="143"/>
      <c r="AU18" s="230"/>
    </row>
    <row r="19" spans="2:68" x14ac:dyDescent="0.3">
      <c r="B19" s="82" t="s">
        <v>72</v>
      </c>
      <c r="E19" s="144"/>
      <c r="F19" s="260" t="s">
        <v>153</v>
      </c>
      <c r="G19" s="216"/>
      <c r="H19" s="216"/>
      <c r="I19" s="55"/>
      <c r="J19" s="55"/>
      <c r="K19" s="55"/>
      <c r="L19" s="55"/>
      <c r="M19" s="55"/>
      <c r="N19" s="55"/>
      <c r="O19" s="55"/>
      <c r="P19" s="55"/>
      <c r="Q19" s="99"/>
      <c r="R19" s="145"/>
      <c r="S19" s="99"/>
      <c r="T19" s="99"/>
      <c r="U19" s="99"/>
      <c r="V19" s="99"/>
      <c r="W19" s="99"/>
      <c r="X19" s="99"/>
      <c r="Y19" s="99"/>
      <c r="Z19" s="99"/>
      <c r="AA19" s="99"/>
      <c r="AB19" s="99"/>
      <c r="AC19" s="99"/>
      <c r="AD19" s="143"/>
      <c r="AU19" s="230"/>
    </row>
    <row r="20" spans="2:68" x14ac:dyDescent="0.3">
      <c r="B20" s="82" t="s">
        <v>73</v>
      </c>
      <c r="E20" s="144"/>
      <c r="F20" s="229" t="s">
        <v>154</v>
      </c>
      <c r="G20" s="216"/>
      <c r="H20" s="216"/>
      <c r="I20" s="55"/>
      <c r="J20" s="55"/>
      <c r="K20" s="55"/>
      <c r="L20" s="55"/>
      <c r="M20" s="55"/>
      <c r="N20" s="55"/>
      <c r="O20" s="55"/>
      <c r="P20" s="55"/>
      <c r="Q20" s="99"/>
      <c r="R20" s="145"/>
      <c r="S20" s="99"/>
      <c r="T20" s="99"/>
      <c r="U20" s="99"/>
      <c r="V20" s="99"/>
      <c r="W20" s="99"/>
      <c r="X20" s="99"/>
      <c r="Y20" s="99"/>
      <c r="Z20" s="99"/>
      <c r="AA20" s="99"/>
      <c r="AB20" s="99"/>
      <c r="AC20" s="99"/>
      <c r="AD20" s="143"/>
      <c r="AU20" s="230"/>
    </row>
    <row r="21" spans="2:68" x14ac:dyDescent="0.3">
      <c r="B21" s="82" t="s">
        <v>74</v>
      </c>
      <c r="E21" s="144"/>
      <c r="F21" s="260" t="s">
        <v>149</v>
      </c>
      <c r="G21" s="216"/>
      <c r="H21" s="216"/>
      <c r="I21" s="55"/>
      <c r="J21" s="55"/>
      <c r="K21" s="55"/>
      <c r="L21" s="55"/>
      <c r="M21" s="55"/>
      <c r="N21" s="55"/>
      <c r="O21" s="55"/>
      <c r="P21" s="55"/>
      <c r="Q21" s="99"/>
      <c r="R21" s="145"/>
      <c r="S21" s="99"/>
      <c r="T21" s="99"/>
      <c r="U21" s="99"/>
      <c r="V21" s="99"/>
      <c r="W21" s="99"/>
      <c r="X21" s="99"/>
      <c r="Y21" s="99"/>
      <c r="Z21" s="99"/>
      <c r="AA21" s="99"/>
      <c r="AB21" s="99"/>
      <c r="AC21" s="99"/>
      <c r="AD21" s="143"/>
      <c r="AU21" s="230"/>
    </row>
    <row r="22" spans="2:68" x14ac:dyDescent="0.3">
      <c r="B22" s="82" t="s">
        <v>75</v>
      </c>
      <c r="E22" s="144"/>
      <c r="F22" s="229" t="s">
        <v>150</v>
      </c>
      <c r="G22" s="216"/>
      <c r="H22" s="216"/>
      <c r="I22" s="55"/>
      <c r="J22" s="55"/>
      <c r="K22" s="55"/>
      <c r="L22" s="55"/>
      <c r="M22" s="55"/>
      <c r="N22" s="55"/>
      <c r="O22" s="55"/>
      <c r="P22" s="55"/>
      <c r="Q22" s="99"/>
      <c r="R22" s="145"/>
      <c r="S22" s="99"/>
      <c r="T22" s="99"/>
      <c r="U22" s="99"/>
      <c r="V22" s="99"/>
      <c r="W22" s="99"/>
      <c r="X22" s="99"/>
      <c r="Y22" s="99"/>
      <c r="Z22" s="99"/>
      <c r="AA22" s="99"/>
      <c r="AB22" s="99"/>
      <c r="AC22" s="99"/>
      <c r="AD22" s="143"/>
      <c r="AU22" s="230"/>
    </row>
    <row r="23" spans="2:68" x14ac:dyDescent="0.3">
      <c r="B23" s="82" t="s">
        <v>76</v>
      </c>
      <c r="E23" s="144"/>
      <c r="F23" s="260" t="s">
        <v>151</v>
      </c>
      <c r="G23" s="55"/>
      <c r="H23" s="55"/>
      <c r="I23" s="55"/>
      <c r="J23" s="55"/>
      <c r="K23" s="55"/>
      <c r="L23" s="55"/>
      <c r="M23" s="55"/>
      <c r="N23" s="55"/>
      <c r="O23" s="55"/>
      <c r="P23" s="55"/>
      <c r="Q23" s="99"/>
      <c r="R23" s="145"/>
      <c r="S23" s="99"/>
      <c r="T23" s="99"/>
      <c r="U23" s="99"/>
      <c r="V23" s="99"/>
      <c r="W23" s="99"/>
      <c r="X23" s="99"/>
      <c r="Y23" s="99"/>
      <c r="Z23" s="99"/>
      <c r="AA23" s="99"/>
      <c r="AB23" s="99"/>
      <c r="AC23" s="99"/>
      <c r="AD23" s="143"/>
      <c r="AU23" s="230"/>
    </row>
    <row r="24" spans="2:68" x14ac:dyDescent="0.3">
      <c r="B24" s="82" t="s">
        <v>110</v>
      </c>
      <c r="E24" s="144"/>
      <c r="F24" s="229" t="s">
        <v>152</v>
      </c>
      <c r="G24" s="55"/>
      <c r="H24" s="55"/>
      <c r="I24" s="55"/>
      <c r="J24" s="55"/>
      <c r="K24" s="55"/>
      <c r="L24" s="55"/>
      <c r="M24" s="55"/>
      <c r="N24" s="55"/>
      <c r="O24" s="55"/>
      <c r="P24" s="55"/>
      <c r="Q24" s="99"/>
      <c r="R24" s="145"/>
      <c r="S24" s="99"/>
      <c r="T24" s="99"/>
      <c r="U24" s="99"/>
      <c r="V24" s="99"/>
      <c r="W24" s="99"/>
      <c r="X24" s="99"/>
      <c r="Y24" s="99"/>
      <c r="Z24" s="99"/>
      <c r="AA24" s="99"/>
      <c r="AB24" s="99"/>
      <c r="AC24" s="99"/>
      <c r="AD24" s="143"/>
      <c r="AU24" s="230"/>
    </row>
    <row r="25" spans="2:68" x14ac:dyDescent="0.3">
      <c r="B25" s="146">
        <v>10</v>
      </c>
      <c r="E25" s="144"/>
      <c r="F25" s="55"/>
      <c r="G25" s="55"/>
      <c r="H25" s="55"/>
      <c r="I25" s="55"/>
      <c r="J25" s="55"/>
      <c r="K25" s="55"/>
      <c r="L25" s="55"/>
      <c r="M25" s="55"/>
      <c r="N25" s="55"/>
      <c r="O25" s="55"/>
      <c r="P25" s="55"/>
      <c r="Q25" s="99"/>
      <c r="R25" s="145"/>
      <c r="S25" s="99"/>
      <c r="T25" s="99"/>
      <c r="U25" s="99"/>
      <c r="V25" s="99"/>
      <c r="W25" s="99"/>
      <c r="X25" s="99"/>
      <c r="Y25" s="99"/>
      <c r="Z25" s="99"/>
      <c r="AA25" s="99"/>
      <c r="AB25" s="99"/>
      <c r="AC25" s="99"/>
      <c r="AD25" s="143"/>
      <c r="AU25" s="230"/>
    </row>
    <row r="26" spans="2:68" x14ac:dyDescent="0.3">
      <c r="B26" s="146">
        <v>5</v>
      </c>
      <c r="E26" s="144"/>
      <c r="F26" s="55"/>
      <c r="G26" s="55"/>
      <c r="H26" s="55"/>
      <c r="I26" s="55"/>
      <c r="J26" s="55"/>
      <c r="K26" s="55"/>
      <c r="L26" s="55"/>
      <c r="M26" s="55"/>
      <c r="N26" s="55"/>
      <c r="O26" s="55"/>
      <c r="P26" s="55"/>
      <c r="Q26" s="99"/>
      <c r="R26" s="145"/>
      <c r="S26" s="99"/>
      <c r="T26" s="99"/>
      <c r="U26" s="99"/>
      <c r="V26" s="99"/>
      <c r="W26" s="99"/>
      <c r="X26" s="99"/>
      <c r="Y26" s="99"/>
      <c r="Z26" s="99"/>
      <c r="AA26" s="99"/>
      <c r="AB26" s="99"/>
      <c r="AC26" s="99"/>
      <c r="AD26" s="143"/>
      <c r="AU26" s="230"/>
    </row>
    <row r="27" spans="2:68" x14ac:dyDescent="0.3">
      <c r="E27" s="144"/>
      <c r="F27" s="55"/>
      <c r="G27" s="55"/>
      <c r="H27" s="55"/>
      <c r="I27" s="55"/>
      <c r="J27" s="55"/>
      <c r="K27" s="55"/>
      <c r="L27" s="55"/>
      <c r="M27" s="55"/>
      <c r="N27" s="55"/>
      <c r="O27" s="55"/>
      <c r="P27" s="55"/>
      <c r="Q27" s="99"/>
      <c r="R27" s="145"/>
      <c r="S27" s="99"/>
      <c r="T27" s="99"/>
      <c r="U27" s="99"/>
      <c r="V27" s="99"/>
      <c r="W27" s="99"/>
      <c r="X27" s="99"/>
      <c r="Y27" s="99"/>
      <c r="Z27" s="99"/>
      <c r="AA27" s="99"/>
      <c r="AB27" s="99"/>
      <c r="AC27" s="99"/>
      <c r="AD27" s="143"/>
      <c r="AU27" s="230"/>
    </row>
    <row r="28" spans="2:68" x14ac:dyDescent="0.3">
      <c r="B28" s="82" t="s">
        <v>7</v>
      </c>
      <c r="E28" s="144"/>
      <c r="F28" s="55"/>
      <c r="G28" s="55"/>
      <c r="H28" s="55"/>
      <c r="I28" s="75" t="s">
        <v>11</v>
      </c>
      <c r="J28" s="76"/>
      <c r="K28" s="76"/>
      <c r="L28" s="76"/>
      <c r="M28" s="76"/>
      <c r="N28" s="76"/>
      <c r="O28" s="76"/>
      <c r="P28" s="76"/>
      <c r="Q28" s="147"/>
      <c r="R28" s="145"/>
      <c r="S28" s="74" t="s">
        <v>48</v>
      </c>
      <c r="T28" s="148"/>
      <c r="U28" s="148"/>
      <c r="V28" s="148"/>
      <c r="W28" s="148"/>
      <c r="X28" s="148"/>
      <c r="Y28" s="148"/>
      <c r="Z28" s="148"/>
      <c r="AA28" s="148"/>
      <c r="AB28" s="99"/>
      <c r="AC28" s="99"/>
      <c r="AD28" s="143"/>
      <c r="AU28" s="230"/>
    </row>
    <row r="29" spans="2:68" s="269" customFormat="1" ht="24" x14ac:dyDescent="0.3">
      <c r="B29" s="261" t="s">
        <v>40</v>
      </c>
      <c r="C29" s="261"/>
      <c r="D29" s="261"/>
      <c r="E29" s="262"/>
      <c r="F29" s="263"/>
      <c r="G29" s="263"/>
      <c r="H29" s="55"/>
      <c r="I29" s="264" t="s">
        <v>122</v>
      </c>
      <c r="J29" s="264">
        <v>2003</v>
      </c>
      <c r="K29" s="264">
        <v>2005</v>
      </c>
      <c r="L29" s="265" t="s">
        <v>165</v>
      </c>
      <c r="M29" s="265" t="s">
        <v>166</v>
      </c>
      <c r="N29" s="265" t="s">
        <v>167</v>
      </c>
      <c r="O29" s="265" t="s">
        <v>126</v>
      </c>
      <c r="P29" s="265" t="s">
        <v>127</v>
      </c>
      <c r="Q29" s="265" t="s">
        <v>128</v>
      </c>
      <c r="R29" s="266"/>
      <c r="S29" s="264" t="s">
        <v>122</v>
      </c>
      <c r="T29" s="264">
        <v>2003</v>
      </c>
      <c r="U29" s="264">
        <v>2005</v>
      </c>
      <c r="V29" s="265" t="s">
        <v>123</v>
      </c>
      <c r="W29" s="265" t="s">
        <v>124</v>
      </c>
      <c r="X29" s="265" t="s">
        <v>125</v>
      </c>
      <c r="Y29" s="265" t="s">
        <v>126</v>
      </c>
      <c r="Z29" s="265" t="s">
        <v>127</v>
      </c>
      <c r="AA29" s="265" t="s">
        <v>128</v>
      </c>
      <c r="AB29" s="267"/>
      <c r="AC29" s="267"/>
      <c r="AD29" s="268"/>
      <c r="AN29" s="270"/>
      <c r="AU29" s="271"/>
      <c r="AX29" s="270"/>
      <c r="AY29" s="270"/>
      <c r="BI29" s="270"/>
      <c r="BJ29" s="270"/>
      <c r="BK29" s="270"/>
      <c r="BL29" s="270"/>
      <c r="BM29" s="270"/>
      <c r="BN29" s="270"/>
      <c r="BO29" s="270"/>
      <c r="BP29" s="270"/>
    </row>
    <row r="30" spans="2:68" x14ac:dyDescent="0.3">
      <c r="B30" s="82" t="s">
        <v>10</v>
      </c>
      <c r="E30" s="144"/>
      <c r="F30" s="55"/>
      <c r="G30" s="175"/>
      <c r="H30" s="227" t="str">
        <f>CONCATENATE(H64,I63,H63,I63,H65)</f>
        <v>British Columbia, All ages, both sexes, Current smoker</v>
      </c>
      <c r="I30" s="286">
        <f t="shared" ref="I30:N31" si="0">H68</f>
        <v>702795</v>
      </c>
      <c r="J30" s="287">
        <f t="shared" si="0"/>
        <v>660132</v>
      </c>
      <c r="K30" s="287">
        <f t="shared" si="0"/>
        <v>639350</v>
      </c>
      <c r="L30" s="287">
        <f t="shared" si="0"/>
        <v>683836</v>
      </c>
      <c r="M30" s="287">
        <f t="shared" si="0"/>
        <v>645856</v>
      </c>
      <c r="N30" s="287">
        <f t="shared" si="0"/>
        <v>593453</v>
      </c>
      <c r="O30" s="287">
        <f t="shared" ref="O30:O31" si="1">N68</f>
        <v>604491</v>
      </c>
      <c r="P30" s="287">
        <f t="shared" ref="P30:P31" si="2">O68</f>
        <v>568019</v>
      </c>
      <c r="Q30" s="287">
        <f t="shared" ref="Q30:Q31" si="3">P68</f>
        <v>518964</v>
      </c>
      <c r="R30" s="145"/>
      <c r="S30" s="290">
        <f>IFERROR(U68,"Fail")</f>
        <v>0.20539525863240504</v>
      </c>
      <c r="T30" s="290">
        <f t="shared" ref="T30:AA30" si="4">IFERROR(V68,"Fail")</f>
        <v>0.18743249520439118</v>
      </c>
      <c r="U30" s="290">
        <f t="shared" si="4"/>
        <v>0.17750142076096151</v>
      </c>
      <c r="V30" s="290">
        <f t="shared" si="4"/>
        <v>0.18190722262404513</v>
      </c>
      <c r="W30" s="290">
        <f t="shared" si="4"/>
        <v>0.16703624563630429</v>
      </c>
      <c r="X30" s="290">
        <f t="shared" si="4"/>
        <v>0.1507226625597097</v>
      </c>
      <c r="Y30" s="290">
        <f t="shared" si="4"/>
        <v>0.15193598737241082</v>
      </c>
      <c r="Z30" s="290">
        <f t="shared" si="4"/>
        <v>0.14127436155078246</v>
      </c>
      <c r="AA30" s="290">
        <f t="shared" si="4"/>
        <v>0.12567530948178224</v>
      </c>
      <c r="AB30" s="99"/>
      <c r="AC30" s="99"/>
      <c r="AD30" s="143"/>
      <c r="AU30" s="230"/>
    </row>
    <row r="31" spans="2:68" x14ac:dyDescent="0.3">
      <c r="B31" s="82" t="s">
        <v>130</v>
      </c>
      <c r="E31" s="144"/>
      <c r="F31" s="55"/>
      <c r="G31" s="175"/>
      <c r="H31" s="227" t="str">
        <f>CONCATENATE(J64,I64,J63,I64,J65,I65)</f>
        <v>Quebec, All ages, both sexes, Current smoker</v>
      </c>
      <c r="I31" s="286">
        <f t="shared" si="0"/>
        <v>1830865</v>
      </c>
      <c r="J31" s="287">
        <f t="shared" si="0"/>
        <v>1639343</v>
      </c>
      <c r="K31" s="287">
        <f t="shared" si="0"/>
        <v>1576386</v>
      </c>
      <c r="L31" s="287">
        <f t="shared" si="0"/>
        <v>1594257</v>
      </c>
      <c r="M31" s="287">
        <f t="shared" si="0"/>
        <v>1532089</v>
      </c>
      <c r="N31" s="287">
        <f t="shared" si="0"/>
        <v>1523724</v>
      </c>
      <c r="O31" s="287">
        <f t="shared" si="1"/>
        <v>1422056</v>
      </c>
      <c r="P31" s="287">
        <f t="shared" si="2"/>
        <v>1295663</v>
      </c>
      <c r="Q31" s="287">
        <f t="shared" si="3"/>
        <v>1279607</v>
      </c>
      <c r="R31" s="145"/>
      <c r="S31" s="290">
        <f t="shared" ref="S31:AA31" si="5">IFERROR(U69,"Fail")</f>
        <v>0.29450639919031307</v>
      </c>
      <c r="T31" s="290">
        <f t="shared" si="5"/>
        <v>0.25825120331853463</v>
      </c>
      <c r="U31" s="290">
        <f t="shared" si="5"/>
        <v>0.24373524958810169</v>
      </c>
      <c r="V31" s="290">
        <f t="shared" si="5"/>
        <v>0.24162218443379499</v>
      </c>
      <c r="W31" s="290">
        <f t="shared" si="5"/>
        <v>0.22823216894515641</v>
      </c>
      <c r="X31" s="290">
        <f t="shared" si="5"/>
        <v>0.22314967502702007</v>
      </c>
      <c r="Y31" s="290">
        <f t="shared" si="5"/>
        <v>0.20418018780678768</v>
      </c>
      <c r="Z31" s="290">
        <f t="shared" si="5"/>
        <v>0.18358584842406667</v>
      </c>
      <c r="AA31" s="290">
        <f t="shared" si="5"/>
        <v>0.17875765506331501</v>
      </c>
      <c r="AB31" s="99"/>
      <c r="AC31" s="99"/>
      <c r="AD31" s="143"/>
      <c r="AU31" s="230"/>
    </row>
    <row r="32" spans="2:68" x14ac:dyDescent="0.3">
      <c r="B32" s="82" t="s">
        <v>135</v>
      </c>
      <c r="E32" s="144"/>
      <c r="F32" s="55"/>
      <c r="G32" s="175"/>
      <c r="H32" s="227" t="s">
        <v>155</v>
      </c>
      <c r="I32" s="227"/>
      <c r="J32" s="227"/>
      <c r="K32" s="227"/>
      <c r="L32" s="227"/>
      <c r="M32" s="227"/>
      <c r="N32" s="227"/>
      <c r="O32" s="227"/>
      <c r="P32" s="227"/>
      <c r="Q32" s="227"/>
      <c r="R32" s="266"/>
      <c r="S32" s="291" t="str">
        <f>U82</f>
        <v>yes</v>
      </c>
      <c r="T32" s="291" t="str">
        <f t="shared" ref="T32:X32" si="6">V82</f>
        <v>yes</v>
      </c>
      <c r="U32" s="291" t="str">
        <f t="shared" si="6"/>
        <v>yes</v>
      </c>
      <c r="V32" s="291" t="str">
        <f t="shared" si="6"/>
        <v>yes</v>
      </c>
      <c r="W32" s="291" t="str">
        <f t="shared" si="6"/>
        <v>yes</v>
      </c>
      <c r="X32" s="291" t="str">
        <f t="shared" si="6"/>
        <v>yes</v>
      </c>
      <c r="Y32" s="291" t="str">
        <f>IFERROR(AA82,"FAIL")</f>
        <v>yes</v>
      </c>
      <c r="Z32" s="291" t="str">
        <f>IFERROR(AB82,"FAIL")</f>
        <v>yes</v>
      </c>
      <c r="AA32" s="291" t="str">
        <f>IFERROR(AC82,"FAIL")</f>
        <v>yes</v>
      </c>
      <c r="AB32" s="99"/>
      <c r="AC32" s="99"/>
      <c r="AD32" s="143"/>
      <c r="AU32" s="230"/>
    </row>
    <row r="33" spans="2:68" x14ac:dyDescent="0.3">
      <c r="B33" s="82"/>
      <c r="E33" s="144"/>
      <c r="F33" s="55"/>
      <c r="G33" s="175"/>
      <c r="H33" s="227"/>
      <c r="I33" s="55"/>
      <c r="J33" s="55"/>
      <c r="K33" s="55"/>
      <c r="L33" s="55"/>
      <c r="M33" s="55"/>
      <c r="N33" s="55"/>
      <c r="O33" s="55"/>
      <c r="P33" s="55"/>
      <c r="Q33" s="55"/>
      <c r="R33" s="55"/>
      <c r="S33" s="55"/>
      <c r="T33" s="55"/>
      <c r="U33" s="55"/>
      <c r="V33" s="55"/>
      <c r="W33" s="55"/>
      <c r="X33" s="55"/>
      <c r="Y33" s="55"/>
      <c r="Z33" s="55"/>
      <c r="AA33" s="55"/>
      <c r="AB33" s="99"/>
      <c r="AC33" s="99"/>
      <c r="AD33" s="143"/>
      <c r="AU33" s="230"/>
    </row>
    <row r="34" spans="2:68" x14ac:dyDescent="0.3">
      <c r="E34" s="144"/>
      <c r="F34" s="55"/>
      <c r="G34" s="175"/>
      <c r="H34" s="227"/>
      <c r="I34" s="106" t="s">
        <v>14</v>
      </c>
      <c r="J34" s="76"/>
      <c r="K34" s="76"/>
      <c r="L34" s="76"/>
      <c r="M34" s="76"/>
      <c r="N34" s="76"/>
      <c r="O34" s="76"/>
      <c r="P34" s="76"/>
      <c r="Q34" s="147"/>
      <c r="R34" s="145"/>
      <c r="S34" s="74" t="s">
        <v>14</v>
      </c>
      <c r="T34" s="76"/>
      <c r="U34" s="76"/>
      <c r="V34" s="76"/>
      <c r="W34" s="76"/>
      <c r="X34" s="76"/>
      <c r="Y34" s="76"/>
      <c r="Z34" s="76"/>
      <c r="AA34" s="147"/>
      <c r="AB34" s="99"/>
      <c r="AC34" s="99"/>
      <c r="AD34" s="143"/>
      <c r="AU34" s="230"/>
    </row>
    <row r="35" spans="2:68" s="269" customFormat="1" ht="24" customHeight="1" x14ac:dyDescent="0.3">
      <c r="B35" s="272"/>
      <c r="C35" s="261"/>
      <c r="D35" s="261"/>
      <c r="E35" s="262"/>
      <c r="F35" s="263"/>
      <c r="G35" s="273"/>
      <c r="H35" s="288"/>
      <c r="I35" s="264" t="s">
        <v>122</v>
      </c>
      <c r="J35" s="264">
        <v>2003</v>
      </c>
      <c r="K35" s="264">
        <v>2005</v>
      </c>
      <c r="L35" s="265" t="s">
        <v>123</v>
      </c>
      <c r="M35" s="265" t="s">
        <v>124</v>
      </c>
      <c r="N35" s="265" t="s">
        <v>125</v>
      </c>
      <c r="O35" s="265" t="s">
        <v>126</v>
      </c>
      <c r="P35" s="265" t="s">
        <v>127</v>
      </c>
      <c r="Q35" s="265" t="s">
        <v>128</v>
      </c>
      <c r="R35" s="266"/>
      <c r="S35" s="264" t="s">
        <v>122</v>
      </c>
      <c r="T35" s="264">
        <v>2003</v>
      </c>
      <c r="U35" s="264">
        <v>2005</v>
      </c>
      <c r="V35" s="265" t="s">
        <v>123</v>
      </c>
      <c r="W35" s="265" t="s">
        <v>124</v>
      </c>
      <c r="X35" s="265" t="s">
        <v>125</v>
      </c>
      <c r="Y35" s="265" t="s">
        <v>126</v>
      </c>
      <c r="Z35" s="265" t="s">
        <v>127</v>
      </c>
      <c r="AA35" s="265" t="s">
        <v>128</v>
      </c>
      <c r="AB35" s="267"/>
      <c r="AC35" s="267"/>
      <c r="AD35" s="268"/>
      <c r="AN35" s="270"/>
      <c r="AU35" s="271"/>
      <c r="AX35" s="270"/>
      <c r="AY35" s="270"/>
      <c r="BI35" s="270"/>
      <c r="BJ35" s="270"/>
      <c r="BK35" s="270"/>
      <c r="BL35" s="270"/>
      <c r="BM35" s="270"/>
      <c r="BN35" s="270"/>
      <c r="BO35" s="270"/>
      <c r="BP35" s="270"/>
    </row>
    <row r="36" spans="2:68" x14ac:dyDescent="0.3">
      <c r="B36" s="146">
        <v>2</v>
      </c>
      <c r="E36" s="144"/>
      <c r="F36" s="55"/>
      <c r="G36" s="59"/>
      <c r="H36" s="227" t="str">
        <f>H30</f>
        <v>British Columbia, All ages, both sexes, Current smoker</v>
      </c>
      <c r="I36" s="286">
        <f>IFERROR(H76,"Fail")</f>
        <v>33734.160000000003</v>
      </c>
      <c r="J36" s="287">
        <f t="shared" ref="J36:Q36" si="7">IFERROR(I76,"Fail")</f>
        <v>35647.128000000004</v>
      </c>
      <c r="K36" s="287">
        <f t="shared" si="7"/>
        <v>33246.199999999997</v>
      </c>
      <c r="L36" s="287">
        <f t="shared" si="7"/>
        <v>39662.487999999998</v>
      </c>
      <c r="M36" s="287">
        <f t="shared" si="7"/>
        <v>42626.495999999999</v>
      </c>
      <c r="N36" s="287">
        <f t="shared" si="7"/>
        <v>43915.522000000004</v>
      </c>
      <c r="O36" s="287">
        <f t="shared" si="7"/>
        <v>36269.46</v>
      </c>
      <c r="P36" s="287">
        <f t="shared" si="7"/>
        <v>39761.33</v>
      </c>
      <c r="Q36" s="287">
        <f t="shared" si="7"/>
        <v>36327.480000000003</v>
      </c>
      <c r="R36" s="145"/>
      <c r="S36" s="291">
        <f>IFERROR(U76,"Fail")</f>
        <v>9.8589724143554412E-3</v>
      </c>
      <c r="T36" s="291">
        <f t="shared" ref="T36:AA36" si="8">IFERROR(V76,"Fail")</f>
        <v>1.0121354741037125E-2</v>
      </c>
      <c r="U36" s="291">
        <f t="shared" si="8"/>
        <v>9.2300738795699985E-3</v>
      </c>
      <c r="V36" s="291">
        <f t="shared" si="8"/>
        <v>1.0550618912194618E-2</v>
      </c>
      <c r="W36" s="291">
        <f t="shared" si="8"/>
        <v>1.1024392211996081E-2</v>
      </c>
      <c r="X36" s="291">
        <f t="shared" si="8"/>
        <v>1.115347702941852E-2</v>
      </c>
      <c r="Y36" s="291">
        <f t="shared" si="8"/>
        <v>9.11615924234465E-3</v>
      </c>
      <c r="Z36" s="291">
        <f t="shared" si="8"/>
        <v>9.8892053085547719E-3</v>
      </c>
      <c r="AA36" s="291">
        <f t="shared" si="8"/>
        <v>8.7972716637247581E-3</v>
      </c>
      <c r="AB36" s="99"/>
      <c r="AC36" s="99"/>
      <c r="AD36" s="143"/>
      <c r="AU36" s="230"/>
    </row>
    <row r="37" spans="2:68" x14ac:dyDescent="0.3">
      <c r="B37" s="146">
        <v>2</v>
      </c>
      <c r="E37" s="144"/>
      <c r="F37" s="55"/>
      <c r="G37" s="59"/>
      <c r="H37" s="227" t="str">
        <f>H31</f>
        <v>Quebec, All ages, both sexes, Current smoker</v>
      </c>
      <c r="I37" s="286">
        <f t="shared" ref="I37:Q37" si="9">IFERROR(H77,"Fail")</f>
        <v>62249.41</v>
      </c>
      <c r="J37" s="287">
        <f t="shared" si="9"/>
        <v>59016.347999999998</v>
      </c>
      <c r="K37" s="287">
        <f t="shared" si="9"/>
        <v>56749.896000000008</v>
      </c>
      <c r="L37" s="287">
        <f t="shared" si="9"/>
        <v>47827.71</v>
      </c>
      <c r="M37" s="287">
        <f t="shared" si="9"/>
        <v>52091.025999999998</v>
      </c>
      <c r="N37" s="287">
        <f t="shared" si="9"/>
        <v>63996.407999999996</v>
      </c>
      <c r="O37" s="287">
        <f t="shared" si="9"/>
        <v>59726.351999999999</v>
      </c>
      <c r="P37" s="287">
        <f t="shared" si="9"/>
        <v>67374.47600000001</v>
      </c>
      <c r="Q37" s="287">
        <f t="shared" si="9"/>
        <v>63980.35</v>
      </c>
      <c r="R37" s="145"/>
      <c r="S37" s="291">
        <f t="shared" ref="S37:AA37" si="10">IFERROR(U77,"Fail")</f>
        <v>1.0013217572470645E-2</v>
      </c>
      <c r="T37" s="291">
        <f t="shared" si="10"/>
        <v>9.2970433194672457E-3</v>
      </c>
      <c r="U37" s="291">
        <f t="shared" si="10"/>
        <v>8.7744689851716601E-3</v>
      </c>
      <c r="V37" s="291">
        <f t="shared" si="10"/>
        <v>7.2486655330138497E-3</v>
      </c>
      <c r="W37" s="291">
        <f t="shared" si="10"/>
        <v>7.7598937441353179E-3</v>
      </c>
      <c r="X37" s="291">
        <f t="shared" si="10"/>
        <v>9.3722863511348439E-3</v>
      </c>
      <c r="Y37" s="291">
        <f t="shared" si="10"/>
        <v>8.5755678878850824E-3</v>
      </c>
      <c r="Z37" s="291">
        <f t="shared" si="10"/>
        <v>9.5464641180514672E-3</v>
      </c>
      <c r="AA37" s="291">
        <f t="shared" si="10"/>
        <v>8.9378827531657497E-3</v>
      </c>
      <c r="AB37" s="99"/>
      <c r="AC37" s="99"/>
      <c r="AD37" s="143"/>
      <c r="AU37" s="230"/>
    </row>
    <row r="38" spans="2:68" x14ac:dyDescent="0.3">
      <c r="B38" s="83"/>
      <c r="E38" s="144"/>
      <c r="F38" s="55"/>
      <c r="G38" s="55"/>
      <c r="H38" s="229"/>
      <c r="I38" s="55"/>
      <c r="J38" s="55"/>
      <c r="K38" s="55"/>
      <c r="L38" s="55"/>
      <c r="M38" s="55"/>
      <c r="N38" s="55"/>
      <c r="O38" s="55"/>
      <c r="P38" s="55"/>
      <c r="Q38" s="99"/>
      <c r="R38" s="145"/>
      <c r="S38" s="99"/>
      <c r="T38" s="99"/>
      <c r="U38" s="99"/>
      <c r="V38" s="99"/>
      <c r="W38" s="99"/>
      <c r="X38" s="99"/>
      <c r="Y38" s="99"/>
      <c r="Z38" s="99"/>
      <c r="AA38" s="99"/>
      <c r="AB38" s="99"/>
      <c r="AC38" s="99"/>
      <c r="AD38" s="143"/>
      <c r="AU38" s="230"/>
    </row>
    <row r="39" spans="2:68" x14ac:dyDescent="0.3">
      <c r="B39" s="83"/>
      <c r="E39" s="144"/>
      <c r="F39" s="55"/>
      <c r="G39" s="174"/>
      <c r="H39" s="289"/>
      <c r="I39" s="228" t="s">
        <v>156</v>
      </c>
      <c r="J39" s="174"/>
      <c r="K39" s="174"/>
      <c r="L39" s="174"/>
      <c r="M39" s="174"/>
      <c r="N39" s="174"/>
      <c r="O39" s="174"/>
      <c r="P39" s="174"/>
      <c r="Q39" s="150"/>
      <c r="R39" s="145"/>
      <c r="S39" s="150"/>
      <c r="T39" s="150"/>
      <c r="U39" s="150"/>
      <c r="V39" s="150"/>
      <c r="W39" s="150"/>
      <c r="X39" s="150"/>
      <c r="Y39" s="150"/>
      <c r="Z39" s="150"/>
      <c r="AA39" s="150"/>
      <c r="AB39" s="99"/>
      <c r="AC39" s="99"/>
      <c r="AD39" s="143"/>
      <c r="AU39" s="230"/>
    </row>
    <row r="40" spans="2:68" x14ac:dyDescent="0.3">
      <c r="E40" s="144"/>
      <c r="F40" s="55"/>
      <c r="G40" s="175"/>
      <c r="H40" s="227" t="str">
        <f>H30</f>
        <v>British Columbia, All ages, both sexes, Current smoker</v>
      </c>
      <c r="I40" s="176">
        <f t="shared" ref="I40:L41" si="11">IF(H72&lt;16.6,0,IF(H72&lt;33.4,"E", "F"))</f>
        <v>0</v>
      </c>
      <c r="J40" s="176">
        <f t="shared" si="11"/>
        <v>0</v>
      </c>
      <c r="K40" s="176">
        <f t="shared" si="11"/>
        <v>0</v>
      </c>
      <c r="L40" s="176">
        <f t="shared" si="11"/>
        <v>0</v>
      </c>
      <c r="M40" s="176">
        <f t="shared" ref="M40:M41" si="12">IF(L72&lt;16.6,0,IF(L72&lt;33.4,"E", "F"))</f>
        <v>0</v>
      </c>
      <c r="N40" s="176">
        <f t="shared" ref="N40:N41" si="13">IF(M72&lt;16.6,0,IF(M72&lt;33.4,"E", "F"))</f>
        <v>0</v>
      </c>
      <c r="O40" s="176">
        <f t="shared" ref="O40:O41" si="14">IF(N72&lt;16.6,0,IF(N72&lt;33.4,"E", "F"))</f>
        <v>0</v>
      </c>
      <c r="P40" s="176">
        <f t="shared" ref="P40:P41" si="15">IF(O72&lt;16.6,0,IF(O72&lt;33.4,"E", "F"))</f>
        <v>0</v>
      </c>
      <c r="Q40" s="176">
        <f t="shared" ref="Q40:Q41" si="16">IF(P72&lt;16.6,0,IF(P72&lt;33.4,"E", "F"))</f>
        <v>0</v>
      </c>
      <c r="R40" s="145"/>
      <c r="S40" s="151">
        <f t="shared" ref="S40:W40" si="17">IF(U72&lt;16.6,0,IF(U72&lt;33.4,"E", "F"))</f>
        <v>0</v>
      </c>
      <c r="T40" s="151">
        <f t="shared" si="17"/>
        <v>0</v>
      </c>
      <c r="U40" s="151">
        <f t="shared" si="17"/>
        <v>0</v>
      </c>
      <c r="V40" s="151">
        <f t="shared" si="17"/>
        <v>0</v>
      </c>
      <c r="W40" s="151">
        <f t="shared" si="17"/>
        <v>0</v>
      </c>
      <c r="X40" s="151">
        <f>IF(AB72&lt;16.6,0,IF(AB72&lt;33.4,"E", "F"))</f>
        <v>0</v>
      </c>
      <c r="Y40" s="151">
        <f>IF(AC72&lt;16.6,0,IF(AC72&lt;33.4,"E", "F"))</f>
        <v>0</v>
      </c>
      <c r="Z40" s="151">
        <f t="shared" ref="Z40:AA40" si="18">IF(AD72&lt;16.6,0,IF(AD72&lt;33.4,"E", "F"))</f>
        <v>0</v>
      </c>
      <c r="AA40" s="151">
        <f t="shared" si="18"/>
        <v>0</v>
      </c>
      <c r="AB40" s="99"/>
      <c r="AC40" s="99"/>
      <c r="AD40" s="143"/>
      <c r="AU40" s="230"/>
    </row>
    <row r="41" spans="2:68" x14ac:dyDescent="0.25">
      <c r="B41" s="86" t="s">
        <v>77</v>
      </c>
      <c r="E41" s="144"/>
      <c r="F41" s="55"/>
      <c r="G41" s="175"/>
      <c r="H41" s="227" t="str">
        <f>H31</f>
        <v>Quebec, All ages, both sexes, Current smoker</v>
      </c>
      <c r="I41" s="176">
        <f t="shared" si="11"/>
        <v>0</v>
      </c>
      <c r="J41" s="176">
        <f t="shared" si="11"/>
        <v>0</v>
      </c>
      <c r="K41" s="176">
        <f t="shared" si="11"/>
        <v>0</v>
      </c>
      <c r="L41" s="176">
        <f t="shared" si="11"/>
        <v>0</v>
      </c>
      <c r="M41" s="176">
        <f t="shared" si="12"/>
        <v>0</v>
      </c>
      <c r="N41" s="176">
        <f t="shared" si="13"/>
        <v>0</v>
      </c>
      <c r="O41" s="176">
        <f t="shared" si="14"/>
        <v>0</v>
      </c>
      <c r="P41" s="176">
        <f t="shared" si="15"/>
        <v>0</v>
      </c>
      <c r="Q41" s="176">
        <f t="shared" si="16"/>
        <v>0</v>
      </c>
      <c r="R41" s="99"/>
      <c r="S41" s="151">
        <f t="shared" ref="S41:W41" si="19">IF(U73&lt;16.6,0,IF(U73&lt;33.4,"E", "F"))</f>
        <v>0</v>
      </c>
      <c r="T41" s="151">
        <f t="shared" si="19"/>
        <v>0</v>
      </c>
      <c r="U41" s="151">
        <f t="shared" si="19"/>
        <v>0</v>
      </c>
      <c r="V41" s="151">
        <f t="shared" si="19"/>
        <v>0</v>
      </c>
      <c r="W41" s="151">
        <f t="shared" si="19"/>
        <v>0</v>
      </c>
      <c r="X41" s="151">
        <f>IF(AB73&lt;16.6,0,IF(AB73&lt;33.4,"E", "F"))</f>
        <v>0</v>
      </c>
      <c r="Y41" s="151"/>
      <c r="Z41" s="151"/>
      <c r="AA41" s="151"/>
      <c r="AB41" s="99"/>
      <c r="AC41" s="99"/>
      <c r="AD41" s="143"/>
      <c r="AU41" s="230"/>
    </row>
    <row r="42" spans="2:68" x14ac:dyDescent="0.25">
      <c r="B42" s="152">
        <f>IF(B11=1,0,(IF(B11=2,5,(IF(B11=3,10,(IF(B11=4,15,(IF(B11=5,20,(IF(B11=6,25,(IF(B11=7,30,35)))))))))))))</f>
        <v>25</v>
      </c>
      <c r="E42" s="144"/>
      <c r="F42" s="55"/>
      <c r="G42" s="55"/>
      <c r="H42" s="229"/>
      <c r="I42" s="55"/>
      <c r="J42" s="55"/>
      <c r="K42" s="55"/>
      <c r="L42" s="55"/>
      <c r="M42" s="55"/>
      <c r="N42" s="55"/>
      <c r="O42" s="55"/>
      <c r="P42" s="55"/>
      <c r="Q42" s="99"/>
      <c r="R42" s="99"/>
      <c r="S42" s="99"/>
      <c r="T42" s="99"/>
      <c r="U42" s="99"/>
      <c r="V42" s="99"/>
      <c r="W42" s="99"/>
      <c r="X42" s="99"/>
      <c r="Y42" s="99"/>
      <c r="Z42" s="99"/>
      <c r="AA42" s="99"/>
      <c r="AB42" s="99"/>
      <c r="AC42" s="99"/>
      <c r="AD42" s="143"/>
      <c r="AU42" s="230"/>
    </row>
    <row r="43" spans="2:68" x14ac:dyDescent="0.25">
      <c r="B43" s="152"/>
      <c r="E43" s="144"/>
      <c r="F43" s="55"/>
      <c r="G43" s="55"/>
      <c r="H43" s="55"/>
      <c r="I43" s="58" t="s">
        <v>25</v>
      </c>
      <c r="J43" s="55"/>
      <c r="K43" s="55"/>
      <c r="L43" s="55"/>
      <c r="M43" s="55"/>
      <c r="N43" s="55"/>
      <c r="O43" s="55"/>
      <c r="P43" s="55"/>
      <c r="Q43" s="99"/>
      <c r="R43" s="99"/>
      <c r="S43" s="99"/>
      <c r="T43" s="99"/>
      <c r="U43" s="99"/>
      <c r="V43" s="99"/>
      <c r="W43" s="99"/>
      <c r="X43" s="99"/>
      <c r="Y43" s="99"/>
      <c r="Z43" s="99"/>
      <c r="AA43" s="99"/>
      <c r="AB43" s="99"/>
      <c r="AC43" s="99"/>
      <c r="AD43" s="143"/>
      <c r="AU43" s="230"/>
    </row>
    <row r="44" spans="2:68" x14ac:dyDescent="0.25">
      <c r="B44" s="152"/>
      <c r="E44" s="144"/>
      <c r="F44" s="55"/>
      <c r="G44" s="55"/>
      <c r="H44" s="55"/>
      <c r="I44" s="284" t="s">
        <v>26</v>
      </c>
      <c r="J44" s="55"/>
      <c r="K44" s="55"/>
      <c r="L44" s="55"/>
      <c r="M44" s="55"/>
      <c r="N44" s="55"/>
      <c r="O44" s="55"/>
      <c r="P44" s="55"/>
      <c r="Q44" s="99"/>
      <c r="R44" s="99"/>
      <c r="S44" s="99"/>
      <c r="T44" s="99"/>
      <c r="U44" s="99"/>
      <c r="V44" s="99"/>
      <c r="W44" s="99"/>
      <c r="X44" s="99"/>
      <c r="Y44" s="99"/>
      <c r="Z44" s="99"/>
      <c r="AA44" s="99"/>
      <c r="AB44" s="99"/>
      <c r="AC44" s="99"/>
      <c r="AD44" s="143"/>
      <c r="AU44" s="230"/>
    </row>
    <row r="45" spans="2:68" x14ac:dyDescent="0.25">
      <c r="B45" s="152"/>
      <c r="E45" s="144"/>
      <c r="F45" s="55"/>
      <c r="G45" s="55"/>
      <c r="H45" s="55"/>
      <c r="I45" s="284" t="s">
        <v>27</v>
      </c>
      <c r="J45" s="55"/>
      <c r="K45" s="55"/>
      <c r="L45" s="55"/>
      <c r="M45" s="55"/>
      <c r="N45" s="55"/>
      <c r="O45" s="55"/>
      <c r="P45" s="55"/>
      <c r="Q45" s="99"/>
      <c r="R45" s="99"/>
      <c r="S45" s="99"/>
      <c r="T45" s="99"/>
      <c r="U45" s="99"/>
      <c r="V45" s="99"/>
      <c r="W45" s="99"/>
      <c r="X45" s="99"/>
      <c r="Y45" s="99"/>
      <c r="Z45" s="99"/>
      <c r="AA45" s="99"/>
      <c r="AB45" s="99"/>
      <c r="AC45" s="99"/>
      <c r="AD45" s="143"/>
      <c r="AU45" s="230"/>
    </row>
    <row r="46" spans="2:68" x14ac:dyDescent="0.25">
      <c r="B46" s="152"/>
      <c r="E46" s="144"/>
      <c r="F46" s="55"/>
      <c r="G46" s="55"/>
      <c r="H46" s="55"/>
      <c r="I46" s="55"/>
      <c r="J46" s="55"/>
      <c r="K46" s="55"/>
      <c r="L46" s="55"/>
      <c r="M46" s="55"/>
      <c r="N46" s="55"/>
      <c r="O46" s="55"/>
      <c r="P46" s="55"/>
      <c r="Q46" s="99"/>
      <c r="R46" s="99"/>
      <c r="S46" s="99"/>
      <c r="T46" s="99"/>
      <c r="U46" s="99"/>
      <c r="V46" s="99"/>
      <c r="W46" s="99"/>
      <c r="X46" s="99"/>
      <c r="Y46" s="99"/>
      <c r="Z46" s="99"/>
      <c r="AA46" s="99"/>
      <c r="AB46" s="99"/>
      <c r="AC46" s="99"/>
      <c r="AD46" s="143"/>
      <c r="AU46" s="230"/>
    </row>
    <row r="47" spans="2:68" ht="21.6" customHeight="1" x14ac:dyDescent="0.25">
      <c r="B47" s="152">
        <f>IF(B12=1,0,(IF(B12=2,5,(IF(B12=3,10,(IF(B12=4,15,(IF(B12=5,20,(IF(B12=6,25,(IF(B12=7,30,35)))))))))))))</f>
        <v>25</v>
      </c>
      <c r="E47" s="144"/>
      <c r="F47" s="231"/>
      <c r="G47" s="231"/>
      <c r="H47" s="231"/>
      <c r="I47" s="295" t="s">
        <v>139</v>
      </c>
      <c r="J47" s="295"/>
      <c r="K47" s="252" t="s">
        <v>112</v>
      </c>
      <c r="L47" s="276" t="s">
        <v>113</v>
      </c>
      <c r="M47" s="295" t="s">
        <v>141</v>
      </c>
      <c r="N47" s="295"/>
      <c r="O47" s="252" t="s">
        <v>112</v>
      </c>
      <c r="P47" s="276" t="s">
        <v>113</v>
      </c>
      <c r="Q47" s="254"/>
      <c r="R47" s="255"/>
      <c r="S47" s="295" t="s">
        <v>139</v>
      </c>
      <c r="T47" s="295"/>
      <c r="U47" s="256" t="s">
        <v>111</v>
      </c>
      <c r="V47" s="257" t="s">
        <v>112</v>
      </c>
      <c r="W47" s="253" t="s">
        <v>113</v>
      </c>
      <c r="X47" s="295" t="s">
        <v>141</v>
      </c>
      <c r="Y47" s="295"/>
      <c r="Z47" s="256" t="s">
        <v>111</v>
      </c>
      <c r="AA47" s="256" t="s">
        <v>112</v>
      </c>
      <c r="AB47" s="253" t="s">
        <v>113</v>
      </c>
      <c r="AC47" s="232"/>
      <c r="AD47" s="143"/>
      <c r="AU47" s="230"/>
    </row>
    <row r="48" spans="2:68" x14ac:dyDescent="0.3">
      <c r="E48" s="144"/>
      <c r="F48" s="231"/>
      <c r="G48" s="233"/>
      <c r="H48" s="234" t="str">
        <f>H30</f>
        <v>British Columbia, All ages, both sexes, Current smoker</v>
      </c>
      <c r="I48" s="231"/>
      <c r="J48" s="231"/>
      <c r="K48" s="235">
        <f>K86</f>
        <v>-2.6976572115624042E-2</v>
      </c>
      <c r="L48" s="236" t="str">
        <f>N86</f>
        <v>no</v>
      </c>
      <c r="M48" s="231"/>
      <c r="N48" s="231"/>
      <c r="O48" s="235">
        <f>K91</f>
        <v>-0.24109874297346148</v>
      </c>
      <c r="P48" s="236" t="str">
        <f>N91</f>
        <v>yes</v>
      </c>
      <c r="Q48" s="232"/>
      <c r="R48" s="232"/>
      <c r="S48" s="232"/>
      <c r="T48" s="237">
        <f>R30</f>
        <v>0</v>
      </c>
      <c r="U48" s="238">
        <f>W86</f>
        <v>-7.9719949150622804E-2</v>
      </c>
      <c r="V48" s="239">
        <f>X86</f>
        <v>-0.38812945187453052</v>
      </c>
      <c r="W48" s="240" t="str">
        <f>AC86</f>
        <v>yes</v>
      </c>
      <c r="X48" s="234"/>
      <c r="Y48" s="241"/>
      <c r="Z48" s="242">
        <f>W91</f>
        <v>-5.623191314226289E-2</v>
      </c>
      <c r="AA48" s="239">
        <f>X91</f>
        <v>-0.3091241366401356</v>
      </c>
      <c r="AB48" s="243" t="str">
        <f>AA91</f>
        <v>yes</v>
      </c>
      <c r="AC48" s="232"/>
      <c r="AD48" s="143"/>
      <c r="AU48" s="230"/>
    </row>
    <row r="49" spans="2:68" x14ac:dyDescent="0.25">
      <c r="B49" s="86" t="s">
        <v>78</v>
      </c>
      <c r="E49" s="144"/>
      <c r="F49" s="231"/>
      <c r="G49" s="233"/>
      <c r="H49" s="244" t="str">
        <f>H31</f>
        <v>Quebec, All ages, both sexes, Current smoker</v>
      </c>
      <c r="I49" s="231"/>
      <c r="J49" s="231"/>
      <c r="K49" s="245">
        <f>K87</f>
        <v>-0.12923290357290132</v>
      </c>
      <c r="L49" s="236" t="str">
        <f>N87</f>
        <v>yes</v>
      </c>
      <c r="M49" s="231"/>
      <c r="N49" s="231"/>
      <c r="O49" s="245">
        <f>K92</f>
        <v>-0.19736466579729617</v>
      </c>
      <c r="P49" s="236" t="str">
        <f>N92</f>
        <v>yes</v>
      </c>
      <c r="Q49" s="232"/>
      <c r="R49" s="232"/>
      <c r="S49" s="232"/>
      <c r="T49" s="237">
        <f>R31</f>
        <v>0</v>
      </c>
      <c r="U49" s="246">
        <f>W87</f>
        <v>-0.11574874412699807</v>
      </c>
      <c r="V49" s="247">
        <f>X87</f>
        <v>-0.39302624474451581</v>
      </c>
      <c r="W49" s="248" t="str">
        <f>AC87</f>
        <v>yes</v>
      </c>
      <c r="X49" s="232"/>
      <c r="Y49" s="232"/>
      <c r="Z49" s="249">
        <f>W92</f>
        <v>-6.2864529370479982E-2</v>
      </c>
      <c r="AA49" s="247">
        <f>X92</f>
        <v>-0.26017697637240345</v>
      </c>
      <c r="AB49" s="236" t="str">
        <f>AA92</f>
        <v>yes</v>
      </c>
      <c r="AC49" s="232"/>
      <c r="AD49" s="143"/>
      <c r="AU49" s="230"/>
    </row>
    <row r="50" spans="2:68" x14ac:dyDescent="0.25">
      <c r="B50" s="86"/>
      <c r="E50" s="144"/>
      <c r="F50" s="231"/>
      <c r="G50" s="233"/>
      <c r="H50" s="244"/>
      <c r="I50" s="231"/>
      <c r="J50" s="231"/>
      <c r="K50" s="245"/>
      <c r="L50" s="231"/>
      <c r="M50" s="244"/>
      <c r="N50" s="244"/>
      <c r="O50" s="244"/>
      <c r="P50" s="244"/>
      <c r="Q50" s="236"/>
      <c r="R50" s="232"/>
      <c r="S50" s="250"/>
      <c r="T50" s="251"/>
      <c r="U50" s="246"/>
      <c r="V50" s="247"/>
      <c r="W50" s="232"/>
      <c r="X50" s="244"/>
      <c r="Y50" s="248"/>
      <c r="Z50" s="248"/>
      <c r="AA50" s="248"/>
      <c r="AB50" s="232"/>
      <c r="AC50" s="232"/>
      <c r="AD50" s="143"/>
      <c r="AU50" s="230"/>
    </row>
    <row r="51" spans="2:68" x14ac:dyDescent="0.25">
      <c r="B51" s="152">
        <f>IF(B25=1,0,(IF(B25=2,41,(IF(B25=3,82,(IF(B25=4,123,(IF(B25=5,164,IF(B25=6,205,(IF(B25=7,246,IF(B25=8,287,(IF(B25=9,328,(IF(B25=10,369,(IF(B25=11,410)))))))))))))))))))</f>
        <v>369</v>
      </c>
      <c r="E51" s="144"/>
      <c r="F51" s="55"/>
      <c r="G51" s="55"/>
      <c r="H51" s="55"/>
      <c r="I51" s="55"/>
      <c r="J51" s="55"/>
      <c r="K51" s="55"/>
      <c r="L51" s="55"/>
      <c r="M51" s="55"/>
      <c r="N51" s="55"/>
      <c r="O51" s="55"/>
      <c r="P51" s="55"/>
      <c r="Q51" s="55"/>
      <c r="R51" s="55"/>
      <c r="S51" s="150"/>
      <c r="T51" s="78"/>
      <c r="U51" s="55"/>
      <c r="V51" s="55"/>
      <c r="W51" s="55"/>
      <c r="X51" s="55"/>
      <c r="Y51" s="55"/>
      <c r="Z51" s="99"/>
      <c r="AA51" s="99"/>
      <c r="AB51" s="99"/>
      <c r="AC51" s="99"/>
      <c r="AD51" s="143"/>
      <c r="AU51" s="230"/>
    </row>
    <row r="52" spans="2:68" x14ac:dyDescent="0.25">
      <c r="B52" s="152">
        <f>IF(B26=1,0,(IF(B26=2,41,(IF(B26=3,82,(IF(B26=4,123,(IF(B26=5,164,IF(B26=6,205,(IF(B26=7,246,IF(B26=8,287,(IF(B26=9,328,(IF(B26=10,369,(IF(B26=11,410)))))))))))))))))))</f>
        <v>164</v>
      </c>
      <c r="E52" s="144"/>
      <c r="F52" s="55"/>
      <c r="G52" s="55"/>
      <c r="H52" s="55"/>
      <c r="I52" s="55"/>
      <c r="J52" s="55"/>
      <c r="K52" s="55"/>
      <c r="L52" s="55"/>
      <c r="M52" s="55"/>
      <c r="N52" s="55"/>
      <c r="O52" s="55"/>
      <c r="P52" s="55"/>
      <c r="Q52" s="55"/>
      <c r="R52" s="55"/>
      <c r="S52" s="55"/>
      <c r="T52" s="55"/>
      <c r="U52" s="55"/>
      <c r="V52" s="55"/>
      <c r="W52" s="55"/>
      <c r="X52" s="55"/>
      <c r="Y52" s="55"/>
      <c r="Z52" s="99"/>
      <c r="AA52" s="99"/>
      <c r="AB52" s="99"/>
      <c r="AC52" s="99"/>
      <c r="AD52" s="143"/>
      <c r="AU52" s="230"/>
    </row>
    <row r="53" spans="2:68" x14ac:dyDescent="0.25">
      <c r="B53" s="152"/>
      <c r="E53" s="144"/>
      <c r="F53" s="55"/>
      <c r="G53" s="55"/>
      <c r="H53" s="55"/>
      <c r="I53" s="55"/>
      <c r="J53" s="55"/>
      <c r="K53" s="55"/>
      <c r="L53" s="55"/>
      <c r="M53" s="55"/>
      <c r="N53" s="55"/>
      <c r="O53" s="55"/>
      <c r="P53" s="55"/>
      <c r="Q53" s="55"/>
      <c r="R53" s="55"/>
      <c r="S53" s="55"/>
      <c r="T53" s="55"/>
      <c r="U53" s="55"/>
      <c r="V53" s="55"/>
      <c r="W53" s="55"/>
      <c r="X53" s="55"/>
      <c r="Y53" s="55"/>
      <c r="Z53" s="99"/>
      <c r="AA53" s="99"/>
      <c r="AB53" s="99"/>
      <c r="AC53" s="99"/>
      <c r="AD53" s="143"/>
      <c r="AU53" s="230"/>
    </row>
    <row r="54" spans="2:68" x14ac:dyDescent="0.25">
      <c r="B54" s="152"/>
      <c r="E54" s="144"/>
      <c r="F54" s="55"/>
      <c r="G54" s="55"/>
      <c r="H54" s="55"/>
      <c r="I54" s="55"/>
      <c r="J54" s="55"/>
      <c r="K54" s="55"/>
      <c r="L54" s="55"/>
      <c r="M54" s="55"/>
      <c r="N54" s="55"/>
      <c r="O54" s="55"/>
      <c r="P54" s="55"/>
      <c r="Q54" s="99"/>
      <c r="R54" s="99"/>
      <c r="S54" s="35"/>
      <c r="T54" s="99"/>
      <c r="U54" s="153"/>
      <c r="V54" s="130"/>
      <c r="W54" s="99"/>
      <c r="X54" s="99"/>
      <c r="Y54" s="99"/>
      <c r="Z54" s="99"/>
      <c r="AA54" s="99"/>
      <c r="AB54" s="99"/>
      <c r="AC54" s="99"/>
      <c r="AD54" s="143"/>
      <c r="AU54" s="230"/>
    </row>
    <row r="55" spans="2:68" x14ac:dyDescent="0.3">
      <c r="E55" s="144"/>
      <c r="F55" s="55"/>
      <c r="G55" s="55"/>
      <c r="H55" s="55"/>
      <c r="I55" s="59"/>
      <c r="J55" s="129"/>
      <c r="K55" s="55"/>
      <c r="L55" s="55"/>
      <c r="M55" s="55"/>
      <c r="N55" s="55"/>
      <c r="O55" s="55"/>
      <c r="P55" s="55"/>
      <c r="Q55" s="99"/>
      <c r="R55" s="99"/>
      <c r="S55" s="55"/>
      <c r="T55" s="55"/>
      <c r="U55" s="145"/>
      <c r="V55" s="130"/>
      <c r="W55" s="99"/>
      <c r="X55" s="99"/>
      <c r="Y55" s="99"/>
      <c r="Z55" s="99"/>
      <c r="AA55" s="99"/>
      <c r="AB55" s="99"/>
      <c r="AC55" s="99"/>
      <c r="AD55" s="143"/>
      <c r="AU55" s="230"/>
    </row>
    <row r="56" spans="2:68" x14ac:dyDescent="0.3">
      <c r="E56" s="144"/>
      <c r="F56" s="55"/>
      <c r="G56" s="55"/>
      <c r="H56" s="55"/>
      <c r="I56" s="55"/>
      <c r="J56" s="55"/>
      <c r="K56" s="55"/>
      <c r="L56" s="55"/>
      <c r="M56" s="55"/>
      <c r="N56" s="55"/>
      <c r="O56" s="55"/>
      <c r="P56" s="55"/>
      <c r="Q56" s="99"/>
      <c r="R56" s="99"/>
      <c r="S56" s="55"/>
      <c r="T56" s="55"/>
      <c r="U56" s="99"/>
      <c r="V56" s="99"/>
      <c r="W56" s="99"/>
      <c r="X56" s="99"/>
      <c r="Y56" s="99"/>
      <c r="Z56" s="99"/>
      <c r="AA56" s="99"/>
      <c r="AB56" s="99"/>
      <c r="AC56" s="99"/>
      <c r="AD56" s="143"/>
      <c r="AU56" s="230"/>
    </row>
    <row r="57" spans="2:68" ht="12.6" thickBot="1" x14ac:dyDescent="0.3">
      <c r="B57" s="86" t="s">
        <v>12</v>
      </c>
      <c r="E57" s="154"/>
      <c r="F57" s="60"/>
      <c r="G57" s="60"/>
      <c r="H57" s="60"/>
      <c r="I57" s="60"/>
      <c r="J57" s="60"/>
      <c r="K57" s="60"/>
      <c r="L57" s="60"/>
      <c r="M57" s="60"/>
      <c r="N57" s="60"/>
      <c r="O57" s="60"/>
      <c r="P57" s="60"/>
      <c r="Q57" s="155"/>
      <c r="R57" s="155"/>
      <c r="S57" s="155"/>
      <c r="T57" s="155"/>
      <c r="U57" s="155"/>
      <c r="V57" s="155"/>
      <c r="W57" s="155"/>
      <c r="X57" s="155"/>
      <c r="Y57" s="155"/>
      <c r="Z57" s="155"/>
      <c r="AA57" s="155"/>
      <c r="AB57" s="155"/>
      <c r="AC57" s="155"/>
      <c r="AD57" s="156"/>
      <c r="AU57" s="259"/>
    </row>
    <row r="58" spans="2:68" s="82" customFormat="1" x14ac:dyDescent="0.25">
      <c r="B58" s="152">
        <f>behavioura</f>
        <v>2</v>
      </c>
      <c r="E58" s="111"/>
      <c r="F58" s="181"/>
      <c r="G58" s="111"/>
      <c r="H58" s="61"/>
      <c r="I58" s="61"/>
      <c r="J58" s="61"/>
      <c r="K58" s="61"/>
      <c r="L58" s="61"/>
      <c r="M58" s="61"/>
      <c r="N58" s="61"/>
      <c r="O58" s="61"/>
      <c r="P58" s="61"/>
      <c r="R58" s="111"/>
      <c r="AC58" s="111"/>
      <c r="AN58" s="111"/>
      <c r="AX58" s="111"/>
      <c r="AY58" s="111"/>
      <c r="BI58" s="111"/>
      <c r="BJ58" s="111"/>
      <c r="BK58" s="111"/>
      <c r="BL58" s="111"/>
      <c r="BM58" s="111"/>
      <c r="BN58" s="111"/>
      <c r="BO58" s="111"/>
      <c r="BP58" s="111"/>
    </row>
    <row r="59" spans="2:68" s="82" customFormat="1" x14ac:dyDescent="0.25">
      <c r="B59" s="152">
        <f>behaviourb</f>
        <v>2</v>
      </c>
      <c r="E59" s="111"/>
      <c r="F59" s="181"/>
      <c r="G59" s="111"/>
      <c r="H59" s="61"/>
      <c r="I59" s="61"/>
      <c r="J59" s="61"/>
      <c r="K59" s="61"/>
      <c r="L59" s="61"/>
      <c r="M59" s="61"/>
      <c r="N59" s="61"/>
      <c r="O59" s="61"/>
      <c r="P59" s="61"/>
      <c r="R59" s="111"/>
      <c r="AC59" s="111"/>
      <c r="AN59" s="111"/>
      <c r="AX59" s="111"/>
      <c r="AY59" s="111"/>
      <c r="BI59" s="111"/>
      <c r="BJ59" s="111"/>
      <c r="BK59" s="111"/>
      <c r="BL59" s="111"/>
      <c r="BM59" s="111"/>
      <c r="BN59" s="111"/>
      <c r="BO59" s="111"/>
      <c r="BP59" s="111"/>
    </row>
    <row r="60" spans="2:68" s="159" customFormat="1" x14ac:dyDescent="0.3">
      <c r="B60" s="157"/>
      <c r="C60" s="158"/>
      <c r="D60" s="158"/>
      <c r="E60" s="62" t="s">
        <v>13</v>
      </c>
      <c r="F60" s="62"/>
      <c r="G60" s="62"/>
      <c r="H60" s="62"/>
      <c r="I60" s="62"/>
      <c r="J60" s="62"/>
      <c r="K60" s="62"/>
      <c r="L60" s="62"/>
      <c r="M60" s="62"/>
      <c r="N60" s="62"/>
      <c r="O60" s="62"/>
      <c r="P60" s="62"/>
      <c r="R60" s="198"/>
      <c r="AC60" s="198"/>
      <c r="AN60" s="198"/>
      <c r="AX60" s="198"/>
      <c r="AY60" s="198"/>
      <c r="BI60" s="198"/>
      <c r="BJ60" s="198"/>
      <c r="BK60" s="198"/>
      <c r="BL60" s="198"/>
      <c r="BM60" s="198"/>
      <c r="BN60" s="198"/>
      <c r="BO60" s="198"/>
      <c r="BP60" s="198"/>
    </row>
    <row r="61" spans="2:68" s="82" customFormat="1" x14ac:dyDescent="0.3">
      <c r="B61" s="149"/>
      <c r="E61" s="111"/>
      <c r="F61" s="181"/>
      <c r="G61" s="111"/>
      <c r="H61" s="61"/>
      <c r="I61" s="61"/>
      <c r="J61" s="61"/>
      <c r="K61" s="61"/>
      <c r="L61" s="61"/>
      <c r="M61" s="61"/>
      <c r="N61" s="61"/>
      <c r="O61" s="61"/>
      <c r="P61" s="61"/>
      <c r="R61" s="111"/>
      <c r="AC61" s="111"/>
      <c r="AN61" s="111"/>
      <c r="AX61" s="111"/>
      <c r="AY61" s="111"/>
      <c r="BI61" s="111"/>
      <c r="BJ61" s="111"/>
      <c r="BK61" s="111"/>
      <c r="BL61" s="111"/>
      <c r="BM61" s="111"/>
      <c r="BN61" s="111"/>
      <c r="BO61" s="111"/>
      <c r="BP61" s="111"/>
    </row>
    <row r="62" spans="2:68" s="82" customFormat="1" x14ac:dyDescent="0.3">
      <c r="B62" s="149"/>
      <c r="E62" s="111"/>
      <c r="F62" s="181"/>
      <c r="G62" s="111"/>
      <c r="H62" s="61" t="s">
        <v>136</v>
      </c>
      <c r="I62" s="209" t="s">
        <v>11</v>
      </c>
      <c r="J62" s="61"/>
      <c r="K62" s="61"/>
      <c r="L62" s="61"/>
      <c r="M62" s="61"/>
      <c r="N62" s="61"/>
      <c r="O62" s="61"/>
      <c r="P62" s="61"/>
      <c r="R62" s="111"/>
      <c r="AC62" s="111"/>
      <c r="AN62" s="111"/>
      <c r="AX62" s="111"/>
      <c r="AY62" s="111"/>
      <c r="BI62" s="111"/>
      <c r="BJ62" s="111"/>
      <c r="BK62" s="111"/>
      <c r="BL62" s="111"/>
      <c r="BM62" s="111"/>
      <c r="BN62" s="111"/>
      <c r="BO62" s="111"/>
      <c r="BP62" s="111"/>
    </row>
    <row r="63" spans="2:68" s="161" customFormat="1" x14ac:dyDescent="0.3">
      <c r="B63" s="160"/>
      <c r="E63" s="184"/>
      <c r="F63" s="185" t="s">
        <v>115</v>
      </c>
      <c r="G63" s="194" t="s">
        <v>77</v>
      </c>
      <c r="H63" s="104" t="str">
        <f>INDEX(population,populationa)</f>
        <v>All ages, both sexes</v>
      </c>
      <c r="I63" s="105" t="s">
        <v>24</v>
      </c>
      <c r="J63" s="104" t="str">
        <f>INDEX(population,populationb)</f>
        <v>All ages, both sexes</v>
      </c>
      <c r="K63" s="105"/>
      <c r="L63" s="105"/>
      <c r="M63" s="105"/>
      <c r="N63" s="105"/>
      <c r="O63" s="105"/>
      <c r="P63" s="105"/>
      <c r="R63" s="184"/>
      <c r="AC63" s="184"/>
      <c r="AN63" s="184"/>
      <c r="AX63" s="184"/>
      <c r="AY63" s="184"/>
      <c r="BI63" s="184"/>
      <c r="BJ63" s="184"/>
      <c r="BK63" s="184"/>
      <c r="BL63" s="184"/>
      <c r="BM63" s="184"/>
      <c r="BN63" s="184"/>
      <c r="BO63" s="184"/>
      <c r="BP63" s="184"/>
    </row>
    <row r="64" spans="2:68" s="161" customFormat="1" x14ac:dyDescent="0.3">
      <c r="B64" s="160"/>
      <c r="E64" s="184"/>
      <c r="F64" s="185"/>
      <c r="G64" s="194" t="s">
        <v>78</v>
      </c>
      <c r="H64" s="104" t="str">
        <f>INDEX(province, Provincea)</f>
        <v>British Columbia</v>
      </c>
      <c r="I64" s="105" t="s">
        <v>24</v>
      </c>
      <c r="J64" s="104" t="str">
        <f>INDEX(province, provinceb)</f>
        <v>Quebec</v>
      </c>
      <c r="K64" s="105"/>
      <c r="L64" s="105"/>
      <c r="M64" s="105"/>
      <c r="N64" s="105"/>
      <c r="O64" s="105"/>
      <c r="P64" s="105"/>
      <c r="R64" s="184"/>
      <c r="AC64" s="184"/>
      <c r="AN64" s="184"/>
      <c r="AX64" s="184"/>
      <c r="AY64" s="184"/>
      <c r="BI64" s="184"/>
      <c r="BJ64" s="184"/>
      <c r="BK64" s="184"/>
      <c r="BL64" s="184"/>
      <c r="BM64" s="184"/>
      <c r="BN64" s="184"/>
      <c r="BO64" s="184"/>
      <c r="BP64" s="184"/>
    </row>
    <row r="65" spans="2:68" s="161" customFormat="1" x14ac:dyDescent="0.3">
      <c r="B65" s="160"/>
      <c r="E65" s="184"/>
      <c r="F65" s="185"/>
      <c r="G65" s="194" t="s">
        <v>21</v>
      </c>
      <c r="H65" s="104" t="str">
        <f>INDEX(behaviour,behavioura)</f>
        <v>Current smoker</v>
      </c>
      <c r="I65" s="105"/>
      <c r="J65" s="104" t="str">
        <f>INDEX(behaviour,behaviourb)</f>
        <v>Current smoker</v>
      </c>
      <c r="K65" s="105"/>
      <c r="L65" s="105"/>
      <c r="M65" s="105"/>
      <c r="N65" s="105"/>
      <c r="O65" s="105"/>
      <c r="P65" s="105"/>
      <c r="R65" s="184"/>
      <c r="AC65" s="184"/>
      <c r="AN65" s="184"/>
      <c r="AX65" s="184"/>
      <c r="AY65" s="184"/>
      <c r="BI65" s="184"/>
      <c r="BJ65" s="184"/>
      <c r="BK65" s="184"/>
      <c r="BL65" s="184"/>
      <c r="BM65" s="184"/>
      <c r="BN65" s="184"/>
      <c r="BO65" s="184"/>
      <c r="BP65" s="184"/>
    </row>
    <row r="66" spans="2:68" s="161" customFormat="1" x14ac:dyDescent="0.3">
      <c r="B66" s="160"/>
      <c r="E66" s="184"/>
      <c r="F66" s="185"/>
      <c r="G66" s="194"/>
      <c r="H66" s="104" t="str">
        <f>CONCATENATE(G67,I64,H63, I63, H64, I64, H65)</f>
        <v>Number of people, All ages, both sexes, British Columbia, Current smoker</v>
      </c>
      <c r="I66" s="105"/>
      <c r="J66" s="105"/>
      <c r="K66" s="105"/>
      <c r="L66" s="105"/>
      <c r="M66" s="105"/>
      <c r="N66" s="105"/>
      <c r="O66" s="105"/>
      <c r="P66" s="105"/>
      <c r="R66" s="184"/>
      <c r="T66" s="162" t="str">
        <f>CONCATENATE(T67,I64,H63, I63, H64, I63, H65)</f>
        <v>Prevalence (%), All ages, both sexes, British Columbia, Current smoker</v>
      </c>
      <c r="AC66" s="184"/>
      <c r="AN66" s="184"/>
      <c r="AX66" s="184"/>
      <c r="AY66" s="184"/>
      <c r="BI66" s="184"/>
      <c r="BJ66" s="184"/>
      <c r="BK66" s="184"/>
      <c r="BL66" s="184"/>
      <c r="BM66" s="184"/>
      <c r="BN66" s="184"/>
      <c r="BO66" s="184"/>
      <c r="BP66" s="184"/>
    </row>
    <row r="67" spans="2:68" s="82" customFormat="1" x14ac:dyDescent="0.3">
      <c r="B67" s="149"/>
      <c r="E67" s="111"/>
      <c r="F67" s="186"/>
      <c r="G67" s="195" t="s">
        <v>11</v>
      </c>
      <c r="H67" s="121">
        <v>2001</v>
      </c>
      <c r="I67" s="121">
        <v>2003</v>
      </c>
      <c r="J67" s="121">
        <v>2005</v>
      </c>
      <c r="K67" s="122" t="s">
        <v>123</v>
      </c>
      <c r="L67" s="122" t="s">
        <v>124</v>
      </c>
      <c r="M67" s="122" t="s">
        <v>125</v>
      </c>
      <c r="N67" s="122" t="s">
        <v>126</v>
      </c>
      <c r="O67" s="122" t="s">
        <v>127</v>
      </c>
      <c r="P67" s="122" t="s">
        <v>128</v>
      </c>
      <c r="R67" s="111"/>
      <c r="S67" s="163"/>
      <c r="T67" s="163" t="s">
        <v>28</v>
      </c>
      <c r="U67" s="121">
        <v>2001</v>
      </c>
      <c r="V67" s="121">
        <v>2003</v>
      </c>
      <c r="W67" s="121">
        <v>2005</v>
      </c>
      <c r="X67" s="122" t="s">
        <v>123</v>
      </c>
      <c r="Y67" s="122" t="s">
        <v>124</v>
      </c>
      <c r="Z67" s="122" t="s">
        <v>125</v>
      </c>
      <c r="AA67" s="122" t="s">
        <v>126</v>
      </c>
      <c r="AB67" s="122" t="s">
        <v>127</v>
      </c>
      <c r="AC67" s="122" t="s">
        <v>128</v>
      </c>
      <c r="AN67" s="111"/>
      <c r="AX67" s="111"/>
      <c r="AY67" s="111"/>
      <c r="BI67" s="111"/>
      <c r="BJ67" s="111"/>
      <c r="BK67" s="111"/>
      <c r="BL67" s="111"/>
      <c r="BM67" s="111"/>
      <c r="BN67" s="111"/>
      <c r="BO67" s="111"/>
      <c r="BP67" s="111"/>
    </row>
    <row r="68" spans="2:68" s="82" customFormat="1" x14ac:dyDescent="0.3">
      <c r="B68" s="149"/>
      <c r="E68" s="111"/>
      <c r="F68" s="181"/>
      <c r="G68" s="196" t="str">
        <f>H30</f>
        <v>British Columbia, All ages, both sexes, Current smoker</v>
      </c>
      <c r="H68" s="63">
        <f t="shared" ref="H68:P68" si="20">INDEX(rangeprovince, populationvaluea+provincevaluea+behaviourvaluea,H$108)</f>
        <v>702795</v>
      </c>
      <c r="I68" s="63">
        <f t="shared" si="20"/>
        <v>660132</v>
      </c>
      <c r="J68" s="63">
        <f t="shared" si="20"/>
        <v>639350</v>
      </c>
      <c r="K68" s="63">
        <f t="shared" si="20"/>
        <v>683836</v>
      </c>
      <c r="L68" s="63">
        <f t="shared" si="20"/>
        <v>645856</v>
      </c>
      <c r="M68" s="63">
        <f t="shared" si="20"/>
        <v>593453</v>
      </c>
      <c r="N68" s="63">
        <f t="shared" si="20"/>
        <v>604491</v>
      </c>
      <c r="O68" s="63">
        <f t="shared" si="20"/>
        <v>568019</v>
      </c>
      <c r="P68" s="63">
        <f t="shared" si="20"/>
        <v>518964</v>
      </c>
      <c r="R68" s="111"/>
      <c r="T68" s="61" t="str">
        <f>G68</f>
        <v>British Columbia, All ages, both sexes, Current smoker</v>
      </c>
      <c r="U68" s="88">
        <f t="shared" ref="U68:AC68" si="21">INDEX(rangeprovince, populationvaluea+provincevaluea+behaviourvaluea,AO$108)</f>
        <v>0.20539525863240504</v>
      </c>
      <c r="V68" s="88">
        <f t="shared" si="21"/>
        <v>0.18743249520439118</v>
      </c>
      <c r="W68" s="88">
        <f t="shared" si="21"/>
        <v>0.17750142076096151</v>
      </c>
      <c r="X68" s="88">
        <f t="shared" si="21"/>
        <v>0.18190722262404513</v>
      </c>
      <c r="Y68" s="88">
        <f t="shared" si="21"/>
        <v>0.16703624563630429</v>
      </c>
      <c r="Z68" s="88">
        <f t="shared" si="21"/>
        <v>0.1507226625597097</v>
      </c>
      <c r="AA68" s="88">
        <f t="shared" si="21"/>
        <v>0.15193598737241082</v>
      </c>
      <c r="AB68" s="88">
        <f t="shared" si="21"/>
        <v>0.14127436155078246</v>
      </c>
      <c r="AC68" s="88">
        <f t="shared" si="21"/>
        <v>0.12567530948178224</v>
      </c>
      <c r="AN68" s="111"/>
      <c r="AX68" s="111"/>
      <c r="AY68" s="111"/>
      <c r="BI68" s="111"/>
      <c r="BJ68" s="111"/>
      <c r="BK68" s="111"/>
      <c r="BL68" s="111"/>
      <c r="BM68" s="111"/>
      <c r="BN68" s="111"/>
      <c r="BO68" s="111"/>
      <c r="BP68" s="111"/>
    </row>
    <row r="69" spans="2:68" s="82" customFormat="1" x14ac:dyDescent="0.3">
      <c r="B69" s="149"/>
      <c r="E69" s="111"/>
      <c r="F69" s="181"/>
      <c r="G69" s="196" t="str">
        <f>H31</f>
        <v>Quebec, All ages, both sexes, Current smoker</v>
      </c>
      <c r="H69" s="63">
        <f t="shared" ref="H69:P69" si="22">INDEX(rangeprovince, populationvalueb+provincevalueb+behaviourvalueb,H$108)</f>
        <v>1830865</v>
      </c>
      <c r="I69" s="63">
        <f t="shared" si="22"/>
        <v>1639343</v>
      </c>
      <c r="J69" s="63">
        <f t="shared" si="22"/>
        <v>1576386</v>
      </c>
      <c r="K69" s="63">
        <f t="shared" si="22"/>
        <v>1594257</v>
      </c>
      <c r="L69" s="63">
        <f t="shared" si="22"/>
        <v>1532089</v>
      </c>
      <c r="M69" s="63">
        <f t="shared" si="22"/>
        <v>1523724</v>
      </c>
      <c r="N69" s="63">
        <f t="shared" si="22"/>
        <v>1422056</v>
      </c>
      <c r="O69" s="63">
        <f t="shared" si="22"/>
        <v>1295663</v>
      </c>
      <c r="P69" s="63">
        <f t="shared" si="22"/>
        <v>1279607</v>
      </c>
      <c r="R69" s="111"/>
      <c r="T69" s="61" t="str">
        <f>G69</f>
        <v>Quebec, All ages, both sexes, Current smoker</v>
      </c>
      <c r="U69" s="88">
        <f t="shared" ref="U69:AC69" si="23">INDEX(rangeprovince, populationvalueb+provincevalueb+behaviourvalueb,AO$108)</f>
        <v>0.29450639919031307</v>
      </c>
      <c r="V69" s="88">
        <f t="shared" si="23"/>
        <v>0.25825120331853463</v>
      </c>
      <c r="W69" s="88">
        <f t="shared" si="23"/>
        <v>0.24373524958810169</v>
      </c>
      <c r="X69" s="88">
        <f t="shared" si="23"/>
        <v>0.24162218443379499</v>
      </c>
      <c r="Y69" s="88">
        <f t="shared" si="23"/>
        <v>0.22823216894515641</v>
      </c>
      <c r="Z69" s="88">
        <f t="shared" si="23"/>
        <v>0.22314967502702007</v>
      </c>
      <c r="AA69" s="88">
        <f t="shared" si="23"/>
        <v>0.20418018780678768</v>
      </c>
      <c r="AB69" s="88">
        <f t="shared" si="23"/>
        <v>0.18358584842406667</v>
      </c>
      <c r="AC69" s="88">
        <f t="shared" si="23"/>
        <v>0.17875765506331501</v>
      </c>
      <c r="AN69" s="111"/>
      <c r="AX69" s="111"/>
      <c r="AY69" s="111"/>
      <c r="BI69" s="111"/>
      <c r="BJ69" s="111"/>
      <c r="BK69" s="111"/>
      <c r="BL69" s="111"/>
      <c r="BM69" s="111"/>
      <c r="BN69" s="111"/>
      <c r="BO69" s="111"/>
      <c r="BP69" s="111"/>
    </row>
    <row r="70" spans="2:68" s="82" customFormat="1" x14ac:dyDescent="0.3">
      <c r="B70" s="149"/>
      <c r="E70" s="111"/>
      <c r="F70" s="181"/>
      <c r="G70" s="111"/>
      <c r="H70" s="61"/>
      <c r="I70" s="61"/>
      <c r="J70" s="61"/>
      <c r="K70" s="61"/>
      <c r="L70" s="61"/>
      <c r="M70" s="61"/>
      <c r="N70" s="61"/>
      <c r="O70" s="61"/>
      <c r="P70" s="61"/>
      <c r="R70" s="111"/>
      <c r="AN70" s="111"/>
      <c r="AX70" s="111"/>
      <c r="AY70" s="111"/>
      <c r="BI70" s="111"/>
      <c r="BJ70" s="111"/>
      <c r="BK70" s="111"/>
      <c r="BL70" s="111"/>
      <c r="BM70" s="111"/>
      <c r="BN70" s="111"/>
      <c r="BO70" s="111"/>
      <c r="BP70" s="111"/>
    </row>
    <row r="71" spans="2:68" s="82" customFormat="1" x14ac:dyDescent="0.3">
      <c r="B71" s="149"/>
      <c r="E71" s="187" t="s">
        <v>25</v>
      </c>
      <c r="F71" s="181"/>
      <c r="G71" s="195" t="s">
        <v>16</v>
      </c>
      <c r="H71" s="61"/>
      <c r="I71" s="61"/>
      <c r="J71" s="61"/>
      <c r="K71" s="61"/>
      <c r="L71" s="61"/>
      <c r="M71" s="61"/>
      <c r="N71" s="61"/>
      <c r="O71" s="61"/>
      <c r="P71" s="61"/>
      <c r="R71" s="187" t="s">
        <v>25</v>
      </c>
      <c r="T71" s="85" t="s">
        <v>16</v>
      </c>
      <c r="AE71" s="164" t="s">
        <v>23</v>
      </c>
      <c r="AN71" s="111"/>
      <c r="AX71" s="111"/>
      <c r="AY71" s="111"/>
      <c r="BI71" s="111"/>
      <c r="BJ71" s="111"/>
      <c r="BK71" s="111"/>
      <c r="BL71" s="111"/>
      <c r="BM71" s="111"/>
      <c r="BN71" s="111"/>
      <c r="BO71" s="111"/>
      <c r="BP71" s="111"/>
    </row>
    <row r="72" spans="2:68" s="82" customFormat="1" x14ac:dyDescent="0.25">
      <c r="B72" s="149"/>
      <c r="E72" s="167" t="s">
        <v>26</v>
      </c>
      <c r="F72" s="181"/>
      <c r="G72" s="196" t="str">
        <f>G68</f>
        <v>British Columbia, All ages, both sexes, Current smoker</v>
      </c>
      <c r="H72" s="208">
        <f>INDEX(rangeprovince, populationvaluea+provincevaluea+behaviourvaluea,S$108)</f>
        <v>2.4</v>
      </c>
      <c r="I72" s="208">
        <f t="shared" ref="I72:N72" si="24">INDEX(rangeprovince, populationvaluea+provincevaluea+behaviourvaluea,T$108)</f>
        <v>2.7</v>
      </c>
      <c r="J72" s="208">
        <f t="shared" si="24"/>
        <v>2.6</v>
      </c>
      <c r="K72" s="208">
        <f t="shared" si="24"/>
        <v>2.9</v>
      </c>
      <c r="L72" s="208">
        <f t="shared" si="24"/>
        <v>3.3</v>
      </c>
      <c r="M72" s="208">
        <f t="shared" si="24"/>
        <v>3.7</v>
      </c>
      <c r="N72" s="208">
        <f t="shared" si="24"/>
        <v>3</v>
      </c>
      <c r="O72" s="208">
        <f t="shared" ref="O72" si="25">INDEX(rangeprovince, populationvaluea+provincevaluea+behaviourvaluea,Z$108)</f>
        <v>3.5</v>
      </c>
      <c r="P72" s="208">
        <f t="shared" ref="P72" si="26">INDEX(rangeprovince, populationvaluea+provincevaluea+behaviourvaluea,AA$108)</f>
        <v>3.5</v>
      </c>
      <c r="R72" s="167" t="s">
        <v>26</v>
      </c>
      <c r="T72" s="61" t="str">
        <f>T68</f>
        <v>British Columbia, All ages, both sexes, Current smoker</v>
      </c>
      <c r="U72" s="165">
        <f t="shared" ref="U72:Y73" si="27">H72</f>
        <v>2.4</v>
      </c>
      <c r="V72" s="165">
        <f t="shared" si="27"/>
        <v>2.7</v>
      </c>
      <c r="W72" s="165">
        <f t="shared" si="27"/>
        <v>2.6</v>
      </c>
      <c r="X72" s="165">
        <f t="shared" si="27"/>
        <v>2.9</v>
      </c>
      <c r="Y72" s="165">
        <f t="shared" si="27"/>
        <v>3.3</v>
      </c>
      <c r="Z72" s="165">
        <f t="shared" ref="Z72:Z73" si="28">M72</f>
        <v>3.7</v>
      </c>
      <c r="AA72" s="165">
        <f t="shared" ref="AA72:AA73" si="29">N72</f>
        <v>3</v>
      </c>
      <c r="AB72" s="165">
        <f t="shared" ref="AB72:AB73" si="30">O72</f>
        <v>3.5</v>
      </c>
      <c r="AC72" s="165">
        <f t="shared" ref="AC72:AC73" si="31">P72</f>
        <v>3.5</v>
      </c>
      <c r="AN72" s="111"/>
      <c r="AX72" s="111"/>
      <c r="AY72" s="111"/>
      <c r="BI72" s="111"/>
      <c r="BJ72" s="111"/>
      <c r="BK72" s="111"/>
      <c r="BL72" s="111"/>
      <c r="BM72" s="111"/>
      <c r="BN72" s="111"/>
      <c r="BO72" s="111"/>
      <c r="BP72" s="111"/>
    </row>
    <row r="73" spans="2:68" s="82" customFormat="1" x14ac:dyDescent="0.25">
      <c r="B73" s="149"/>
      <c r="E73" s="167" t="s">
        <v>27</v>
      </c>
      <c r="F73" s="181"/>
      <c r="G73" s="196" t="str">
        <f>G69</f>
        <v>Quebec, All ages, both sexes, Current smoker</v>
      </c>
      <c r="H73" s="208">
        <f t="shared" ref="H73:N73" si="32">INDEX(rangeprovince, populationvalueb+provincevalueb+behaviourvalueb,S$108)</f>
        <v>1.7</v>
      </c>
      <c r="I73" s="208">
        <f t="shared" si="32"/>
        <v>1.8</v>
      </c>
      <c r="J73" s="208">
        <f t="shared" si="32"/>
        <v>1.8</v>
      </c>
      <c r="K73" s="208">
        <f t="shared" si="32"/>
        <v>1.5</v>
      </c>
      <c r="L73" s="208">
        <f t="shared" si="32"/>
        <v>1.7</v>
      </c>
      <c r="M73" s="208">
        <f t="shared" si="32"/>
        <v>2.1</v>
      </c>
      <c r="N73" s="208">
        <f t="shared" si="32"/>
        <v>2.1</v>
      </c>
      <c r="O73" s="208">
        <f t="shared" ref="O73" si="33">INDEX(rangeprovince, populationvalueb+provincevalueb+behaviourvalueb,Z$108)</f>
        <v>2.6</v>
      </c>
      <c r="P73" s="208">
        <f t="shared" ref="P73" si="34">INDEX(rangeprovince, populationvalueb+provincevalueb+behaviourvalueb,AA$108)</f>
        <v>2.5</v>
      </c>
      <c r="R73" s="167" t="s">
        <v>27</v>
      </c>
      <c r="T73" s="61" t="str">
        <f>T69</f>
        <v>Quebec, All ages, both sexes, Current smoker</v>
      </c>
      <c r="U73" s="165">
        <f t="shared" si="27"/>
        <v>1.7</v>
      </c>
      <c r="V73" s="165">
        <f t="shared" si="27"/>
        <v>1.8</v>
      </c>
      <c r="W73" s="165">
        <f t="shared" si="27"/>
        <v>1.8</v>
      </c>
      <c r="X73" s="165">
        <f t="shared" si="27"/>
        <v>1.5</v>
      </c>
      <c r="Y73" s="165">
        <f t="shared" si="27"/>
        <v>1.7</v>
      </c>
      <c r="Z73" s="165">
        <f t="shared" si="28"/>
        <v>2.1</v>
      </c>
      <c r="AA73" s="165">
        <f t="shared" si="29"/>
        <v>2.1</v>
      </c>
      <c r="AB73" s="165">
        <f t="shared" si="30"/>
        <v>2.6</v>
      </c>
      <c r="AC73" s="165">
        <f t="shared" si="31"/>
        <v>2.5</v>
      </c>
      <c r="AN73" s="111"/>
      <c r="AX73" s="111"/>
      <c r="AY73" s="111"/>
      <c r="BI73" s="111"/>
      <c r="BJ73" s="111"/>
      <c r="BK73" s="111"/>
      <c r="BL73" s="111"/>
      <c r="BM73" s="111"/>
      <c r="BN73" s="111"/>
      <c r="BO73" s="111"/>
      <c r="BP73" s="111"/>
    </row>
    <row r="74" spans="2:68" s="82" customFormat="1" x14ac:dyDescent="0.3">
      <c r="B74" s="149"/>
      <c r="E74" s="111"/>
      <c r="F74" s="181"/>
      <c r="G74" s="111"/>
      <c r="H74" s="61"/>
      <c r="I74" s="61"/>
      <c r="J74" s="61"/>
      <c r="K74" s="61"/>
      <c r="L74" s="61"/>
      <c r="M74" s="61"/>
      <c r="N74" s="61"/>
      <c r="O74" s="61"/>
      <c r="P74" s="61"/>
      <c r="R74" s="111"/>
      <c r="AN74" s="111"/>
      <c r="AX74" s="111"/>
      <c r="AY74" s="111"/>
      <c r="BI74" s="111"/>
      <c r="BJ74" s="111"/>
      <c r="BK74" s="111"/>
      <c r="BL74" s="111"/>
      <c r="BM74" s="111"/>
      <c r="BN74" s="111"/>
      <c r="BO74" s="111"/>
      <c r="BP74" s="111"/>
    </row>
    <row r="75" spans="2:68" s="82" customFormat="1" x14ac:dyDescent="0.3">
      <c r="B75" s="149"/>
      <c r="E75" s="111"/>
      <c r="F75" s="181"/>
      <c r="G75" s="195" t="s">
        <v>22</v>
      </c>
      <c r="H75" s="61"/>
      <c r="I75" s="61"/>
      <c r="J75" s="61"/>
      <c r="K75" s="61"/>
      <c r="L75" s="61"/>
      <c r="M75" s="61"/>
      <c r="N75" s="61"/>
      <c r="O75" s="61"/>
      <c r="P75" s="61"/>
      <c r="R75" s="111"/>
      <c r="T75" s="85" t="s">
        <v>22</v>
      </c>
      <c r="AN75" s="111"/>
      <c r="AX75" s="111"/>
      <c r="AY75" s="111"/>
      <c r="BI75" s="111"/>
      <c r="BJ75" s="111"/>
      <c r="BK75" s="111"/>
      <c r="BL75" s="111"/>
      <c r="BM75" s="111"/>
      <c r="BN75" s="111"/>
      <c r="BO75" s="111"/>
      <c r="BP75" s="111"/>
    </row>
    <row r="76" spans="2:68" s="82" customFormat="1" x14ac:dyDescent="0.3">
      <c r="B76" s="149"/>
      <c r="E76" s="111"/>
      <c r="F76" s="181"/>
      <c r="G76" s="196" t="str">
        <f>G68</f>
        <v>British Columbia, All ages, both sexes, Current smoker</v>
      </c>
      <c r="H76" s="63">
        <f>INDEX(rangeprovince, populationvaluea+provincevaluea+behaviourvaluea,AD$108)</f>
        <v>33734.160000000003</v>
      </c>
      <c r="I76" s="63">
        <f t="shared" ref="I76:N76" si="35">INDEX(rangeprovince, populationvaluea+provincevaluea+behaviourvaluea,AE$108)</f>
        <v>35647.128000000004</v>
      </c>
      <c r="J76" s="63">
        <f t="shared" si="35"/>
        <v>33246.199999999997</v>
      </c>
      <c r="K76" s="63">
        <f t="shared" si="35"/>
        <v>39662.487999999998</v>
      </c>
      <c r="L76" s="63">
        <f t="shared" si="35"/>
        <v>42626.495999999999</v>
      </c>
      <c r="M76" s="63">
        <f t="shared" si="35"/>
        <v>43915.522000000004</v>
      </c>
      <c r="N76" s="63">
        <f t="shared" si="35"/>
        <v>36269.46</v>
      </c>
      <c r="O76" s="63">
        <f t="shared" ref="O76" si="36">INDEX(rangeprovince, populationvaluea+provincevaluea+behaviourvaluea,AK$108)</f>
        <v>39761.33</v>
      </c>
      <c r="P76" s="63">
        <f t="shared" ref="P76" si="37">INDEX(rangeprovince, populationvaluea+provincevaluea+behaviourvaluea,AL$108)</f>
        <v>36327.480000000003</v>
      </c>
      <c r="R76" s="111"/>
      <c r="T76" s="61" t="str">
        <f>T68</f>
        <v>British Columbia, All ages, both sexes, Current smoker</v>
      </c>
      <c r="U76" s="88">
        <f t="shared" ref="U76:AC76" si="38">INDEX(rangeprovince, populationvaluea+provincevaluea+behaviourvaluea,AZ$108)</f>
        <v>9.8589724143554412E-3</v>
      </c>
      <c r="V76" s="88">
        <f t="shared" si="38"/>
        <v>1.0121354741037125E-2</v>
      </c>
      <c r="W76" s="88">
        <f t="shared" si="38"/>
        <v>9.2300738795699985E-3</v>
      </c>
      <c r="X76" s="88">
        <f t="shared" si="38"/>
        <v>1.0550618912194618E-2</v>
      </c>
      <c r="Y76" s="88">
        <f t="shared" si="38"/>
        <v>1.1024392211996081E-2</v>
      </c>
      <c r="Z76" s="88">
        <f t="shared" si="38"/>
        <v>1.115347702941852E-2</v>
      </c>
      <c r="AA76" s="88">
        <f t="shared" si="38"/>
        <v>9.11615924234465E-3</v>
      </c>
      <c r="AB76" s="88">
        <f t="shared" si="38"/>
        <v>9.8892053085547719E-3</v>
      </c>
      <c r="AC76" s="88">
        <f t="shared" si="38"/>
        <v>8.7972716637247581E-3</v>
      </c>
      <c r="AN76" s="111"/>
      <c r="AX76" s="111"/>
      <c r="AY76" s="111"/>
      <c r="BI76" s="111"/>
      <c r="BJ76" s="111"/>
      <c r="BK76" s="111"/>
      <c r="BL76" s="111"/>
      <c r="BM76" s="111"/>
      <c r="BN76" s="111"/>
      <c r="BO76" s="111"/>
      <c r="BP76" s="111"/>
    </row>
    <row r="77" spans="2:68" s="82" customFormat="1" x14ac:dyDescent="0.3">
      <c r="B77" s="149"/>
      <c r="E77" s="111"/>
      <c r="F77" s="181"/>
      <c r="G77" s="196" t="str">
        <f>G69</f>
        <v>Quebec, All ages, both sexes, Current smoker</v>
      </c>
      <c r="H77" s="63">
        <f t="shared" ref="H77:N77" si="39">INDEX(rangeprovince, populationvalueb+provincevalueb+behaviourvalueb,AD$108)</f>
        <v>62249.41</v>
      </c>
      <c r="I77" s="63">
        <f t="shared" si="39"/>
        <v>59016.347999999998</v>
      </c>
      <c r="J77" s="63">
        <f t="shared" si="39"/>
        <v>56749.896000000008</v>
      </c>
      <c r="K77" s="63">
        <f t="shared" si="39"/>
        <v>47827.71</v>
      </c>
      <c r="L77" s="63">
        <f t="shared" si="39"/>
        <v>52091.025999999998</v>
      </c>
      <c r="M77" s="63">
        <f t="shared" si="39"/>
        <v>63996.407999999996</v>
      </c>
      <c r="N77" s="63">
        <f t="shared" si="39"/>
        <v>59726.351999999999</v>
      </c>
      <c r="O77" s="63">
        <f t="shared" ref="O77" si="40">INDEX(rangeprovince, populationvalueb+provincevalueb+behaviourvalueb,AK$108)</f>
        <v>67374.47600000001</v>
      </c>
      <c r="P77" s="63">
        <f t="shared" ref="P77" si="41">INDEX(rangeprovince, populationvalueb+provincevalueb+behaviourvalueb,AL$108)</f>
        <v>63980.35</v>
      </c>
      <c r="R77" s="111"/>
      <c r="T77" s="61" t="str">
        <f>T69</f>
        <v>Quebec, All ages, both sexes, Current smoker</v>
      </c>
      <c r="U77" s="88">
        <f t="shared" ref="U77:AC77" si="42">INDEX(rangeprovince, populationvalueb+provincevalueb+behaviourvalueb,AZ$108)</f>
        <v>1.0013217572470645E-2</v>
      </c>
      <c r="V77" s="88">
        <f t="shared" si="42"/>
        <v>9.2970433194672457E-3</v>
      </c>
      <c r="W77" s="88">
        <f t="shared" si="42"/>
        <v>8.7744689851716601E-3</v>
      </c>
      <c r="X77" s="88">
        <f t="shared" si="42"/>
        <v>7.2486655330138497E-3</v>
      </c>
      <c r="Y77" s="88">
        <f t="shared" si="42"/>
        <v>7.7598937441353179E-3</v>
      </c>
      <c r="Z77" s="88">
        <f t="shared" si="42"/>
        <v>9.3722863511348439E-3</v>
      </c>
      <c r="AA77" s="88">
        <f t="shared" si="42"/>
        <v>8.5755678878850824E-3</v>
      </c>
      <c r="AB77" s="88">
        <f t="shared" si="42"/>
        <v>9.5464641180514672E-3</v>
      </c>
      <c r="AC77" s="88">
        <f t="shared" si="42"/>
        <v>8.9378827531657497E-3</v>
      </c>
      <c r="AN77" s="111"/>
      <c r="AX77" s="111"/>
      <c r="AY77" s="111"/>
      <c r="BI77" s="111"/>
      <c r="BJ77" s="111"/>
      <c r="BK77" s="111"/>
      <c r="BL77" s="111"/>
      <c r="BM77" s="111"/>
      <c r="BN77" s="111"/>
      <c r="BO77" s="111"/>
      <c r="BP77" s="111"/>
    </row>
    <row r="78" spans="2:68" s="82" customFormat="1" x14ac:dyDescent="0.3">
      <c r="B78" s="149"/>
      <c r="E78" s="111"/>
      <c r="F78" s="181"/>
      <c r="G78" s="196"/>
      <c r="H78" s="63"/>
      <c r="I78" s="63"/>
      <c r="J78" s="63"/>
      <c r="K78" s="63"/>
      <c r="L78" s="63"/>
      <c r="M78" s="63"/>
      <c r="N78" s="63"/>
      <c r="O78" s="63"/>
      <c r="P78" s="63"/>
      <c r="R78" s="111"/>
      <c r="T78" s="61"/>
      <c r="U78" s="88"/>
      <c r="V78" s="88"/>
      <c r="W78" s="88"/>
      <c r="X78" s="88"/>
      <c r="Y78" s="88"/>
      <c r="Z78" s="88"/>
      <c r="AA78" s="88"/>
      <c r="AB78" s="88"/>
      <c r="AC78" s="88"/>
      <c r="AN78" s="111"/>
      <c r="AX78" s="111"/>
      <c r="AY78" s="111"/>
      <c r="BI78" s="111"/>
      <c r="BJ78" s="111"/>
      <c r="BK78" s="111"/>
      <c r="BL78" s="111"/>
      <c r="BM78" s="111"/>
      <c r="BN78" s="111"/>
      <c r="BO78" s="111"/>
      <c r="BP78" s="111"/>
    </row>
    <row r="79" spans="2:68" s="82" customFormat="1" x14ac:dyDescent="0.3">
      <c r="B79" s="149"/>
      <c r="E79" s="111"/>
      <c r="F79" s="181"/>
      <c r="G79" s="196"/>
      <c r="H79" s="63"/>
      <c r="I79" s="63"/>
      <c r="J79" s="63"/>
      <c r="K79" s="63"/>
      <c r="L79" s="63"/>
      <c r="M79" s="63"/>
      <c r="N79" s="63"/>
      <c r="O79" s="63"/>
      <c r="P79" s="63"/>
      <c r="R79" s="111"/>
      <c r="T79" s="61" t="s">
        <v>143</v>
      </c>
      <c r="U79" s="213">
        <f>U68-U69</f>
        <v>-8.9111140557908031E-2</v>
      </c>
      <c r="V79" s="213">
        <f>V68-V69</f>
        <v>-7.0818708114143453E-2</v>
      </c>
      <c r="W79" s="213">
        <f t="shared" ref="W79:AC79" si="43">W68-W69</f>
        <v>-6.6233828827140184E-2</v>
      </c>
      <c r="X79" s="213">
        <f t="shared" si="43"/>
        <v>-5.9714961809749861E-2</v>
      </c>
      <c r="Y79" s="213">
        <f t="shared" si="43"/>
        <v>-6.1195923308852124E-2</v>
      </c>
      <c r="Z79" s="213">
        <f t="shared" si="43"/>
        <v>-7.242701246731037E-2</v>
      </c>
      <c r="AA79" s="213">
        <f t="shared" si="43"/>
        <v>-5.2244200434376858E-2</v>
      </c>
      <c r="AB79" s="213">
        <f t="shared" si="43"/>
        <v>-4.2311486873284204E-2</v>
      </c>
      <c r="AC79" s="213">
        <f t="shared" si="43"/>
        <v>-5.3082345581532769E-2</v>
      </c>
      <c r="AN79" s="111"/>
      <c r="AX79" s="111"/>
      <c r="AY79" s="111"/>
      <c r="BI79" s="111"/>
      <c r="BJ79" s="111"/>
      <c r="BK79" s="111"/>
      <c r="BL79" s="111"/>
      <c r="BM79" s="111"/>
      <c r="BN79" s="111"/>
      <c r="BO79" s="111"/>
      <c r="BP79" s="111"/>
    </row>
    <row r="80" spans="2:68" s="82" customFormat="1" x14ac:dyDescent="0.3">
      <c r="B80" s="149"/>
      <c r="E80" s="111"/>
      <c r="F80" s="181"/>
      <c r="G80" s="196"/>
      <c r="H80" s="63"/>
      <c r="I80" s="63"/>
      <c r="J80" s="63"/>
      <c r="K80" s="63"/>
      <c r="L80" s="63"/>
      <c r="M80" s="63"/>
      <c r="N80" s="63"/>
      <c r="O80" s="63"/>
      <c r="P80" s="63"/>
      <c r="R80" s="111"/>
      <c r="T80" s="61" t="s">
        <v>31</v>
      </c>
      <c r="U80" s="213">
        <f>SQRT(POWER(U69*U73/100,2)+POWER(U68*U72/100,2))</f>
        <v>7.0260917874138329E-3</v>
      </c>
      <c r="V80" s="213">
        <f>SQRT(POWER(V69*V73/100,2)+POWER(V68*V72/100,2))</f>
        <v>6.8716234668010807E-3</v>
      </c>
      <c r="W80" s="213">
        <f t="shared" ref="W80:AC80" si="44">SQRT(POWER(W69*W73/100,2)+POWER(W68*W72/100,2))</f>
        <v>6.3676049224582814E-3</v>
      </c>
      <c r="X80" s="213">
        <f t="shared" si="44"/>
        <v>6.4003654473760649E-3</v>
      </c>
      <c r="Y80" s="213">
        <f t="shared" si="44"/>
        <v>6.7407932501336648E-3</v>
      </c>
      <c r="Z80" s="213">
        <f t="shared" si="44"/>
        <v>7.2842261307127726E-3</v>
      </c>
      <c r="AA80" s="213">
        <f t="shared" si="44"/>
        <v>6.2578894990945547E-3</v>
      </c>
      <c r="AB80" s="213">
        <f t="shared" si="44"/>
        <v>6.8726152007804143E-3</v>
      </c>
      <c r="AC80" s="213">
        <f t="shared" si="44"/>
        <v>6.270521047622604E-3</v>
      </c>
      <c r="AN80" s="111"/>
      <c r="AX80" s="111"/>
      <c r="AY80" s="111"/>
      <c r="BI80" s="111"/>
      <c r="BJ80" s="111"/>
      <c r="BK80" s="111"/>
      <c r="BL80" s="111"/>
      <c r="BM80" s="111"/>
      <c r="BN80" s="111"/>
      <c r="BO80" s="111"/>
      <c r="BP80" s="111"/>
    </row>
    <row r="81" spans="2:68" s="82" customFormat="1" x14ac:dyDescent="0.25">
      <c r="B81" s="149"/>
      <c r="E81" s="111"/>
      <c r="F81" s="181"/>
      <c r="G81" s="196"/>
      <c r="H81" s="63"/>
      <c r="I81" s="63"/>
      <c r="J81" s="63"/>
      <c r="K81" s="63"/>
      <c r="L81" s="63"/>
      <c r="M81" s="63"/>
      <c r="N81" s="63"/>
      <c r="O81" s="63"/>
      <c r="P81" s="63"/>
      <c r="R81" s="111"/>
      <c r="T81" s="61" t="s">
        <v>144</v>
      </c>
      <c r="U81" s="65">
        <f>U79/U80</f>
        <v>-12.682888760083804</v>
      </c>
      <c r="V81" s="65">
        <f>V79/V80</f>
        <v>-10.305964588468845</v>
      </c>
      <c r="W81" s="65">
        <f t="shared" ref="W81:AC81" si="45">W79/W80</f>
        <v>-10.401686290796118</v>
      </c>
      <c r="X81" s="65">
        <f t="shared" si="45"/>
        <v>-9.3299300330156925</v>
      </c>
      <c r="Y81" s="65">
        <f t="shared" si="45"/>
        <v>-9.0784453754962229</v>
      </c>
      <c r="Z81" s="65">
        <f t="shared" si="45"/>
        <v>-9.9429934172325414</v>
      </c>
      <c r="AA81" s="65">
        <f t="shared" si="45"/>
        <v>-8.3485335498391269</v>
      </c>
      <c r="AB81" s="65">
        <f t="shared" si="45"/>
        <v>-6.1565336683595433</v>
      </c>
      <c r="AC81" s="65">
        <f t="shared" si="45"/>
        <v>-8.4653803373578231</v>
      </c>
      <c r="AN81" s="111"/>
      <c r="AX81" s="111"/>
      <c r="AY81" s="111"/>
      <c r="BI81" s="111"/>
      <c r="BJ81" s="111"/>
      <c r="BK81" s="111"/>
      <c r="BL81" s="111"/>
      <c r="BM81" s="111"/>
      <c r="BN81" s="111"/>
      <c r="BO81" s="111"/>
      <c r="BP81" s="111"/>
    </row>
    <row r="82" spans="2:68" s="82" customFormat="1" x14ac:dyDescent="0.25">
      <c r="B82" s="149"/>
      <c r="E82" s="111"/>
      <c r="F82" s="181"/>
      <c r="G82" s="111"/>
      <c r="H82" s="61"/>
      <c r="I82" s="61"/>
      <c r="J82" s="61"/>
      <c r="K82" s="61"/>
      <c r="L82" s="61"/>
      <c r="M82" s="61"/>
      <c r="N82" s="61"/>
      <c r="O82" s="61"/>
      <c r="P82" s="61"/>
      <c r="R82" s="111"/>
      <c r="T82" s="82" t="s">
        <v>145</v>
      </c>
      <c r="U82" s="65" t="str">
        <f>IF(AND(U81&gt;-2,U81&lt;2),"no","yes")</f>
        <v>yes</v>
      </c>
      <c r="V82" s="65" t="str">
        <f>IF(AND(V81&gt;-2,V81&lt;2),"no","yes")</f>
        <v>yes</v>
      </c>
      <c r="W82" s="65" t="str">
        <f t="shared" ref="W82:AC82" si="46">IF(AND(W81&gt;-2,W81&lt;2),"no","yes")</f>
        <v>yes</v>
      </c>
      <c r="X82" s="65" t="str">
        <f t="shared" si="46"/>
        <v>yes</v>
      </c>
      <c r="Y82" s="65" t="str">
        <f t="shared" si="46"/>
        <v>yes</v>
      </c>
      <c r="Z82" s="65" t="str">
        <f t="shared" si="46"/>
        <v>yes</v>
      </c>
      <c r="AA82" s="65" t="str">
        <f t="shared" si="46"/>
        <v>yes</v>
      </c>
      <c r="AB82" s="65" t="str">
        <f t="shared" si="46"/>
        <v>yes</v>
      </c>
      <c r="AC82" s="65" t="str">
        <f t="shared" si="46"/>
        <v>yes</v>
      </c>
      <c r="AN82" s="111"/>
      <c r="AX82" s="111"/>
      <c r="AY82" s="111"/>
      <c r="BI82" s="111"/>
      <c r="BJ82" s="111"/>
      <c r="BK82" s="111"/>
      <c r="BL82" s="111"/>
      <c r="BM82" s="111"/>
      <c r="BN82" s="111"/>
      <c r="BO82" s="111"/>
      <c r="BP82" s="111"/>
    </row>
    <row r="83" spans="2:68" s="82" customFormat="1" x14ac:dyDescent="0.3">
      <c r="B83" s="149"/>
      <c r="E83" s="111"/>
      <c r="F83" s="181"/>
      <c r="G83" s="111"/>
      <c r="H83" s="61"/>
      <c r="I83" s="61"/>
      <c r="J83" s="61"/>
      <c r="K83" s="61"/>
      <c r="L83" s="61"/>
      <c r="M83" s="61"/>
      <c r="N83" s="61"/>
      <c r="O83" s="61"/>
      <c r="P83" s="61"/>
      <c r="R83" s="111"/>
      <c r="AC83" s="111"/>
      <c r="AN83" s="111"/>
      <c r="AX83" s="111"/>
      <c r="AY83" s="111"/>
      <c r="BI83" s="111"/>
      <c r="BJ83" s="111"/>
      <c r="BK83" s="111"/>
      <c r="BL83" s="111"/>
      <c r="BM83" s="111"/>
      <c r="BN83" s="111"/>
      <c r="BO83" s="111"/>
      <c r="BP83" s="111"/>
    </row>
    <row r="84" spans="2:68" s="82" customFormat="1" ht="24" x14ac:dyDescent="0.25">
      <c r="B84" s="149"/>
      <c r="E84" s="111"/>
      <c r="F84" s="166"/>
      <c r="G84" s="167" t="s">
        <v>138</v>
      </c>
      <c r="H84" s="212">
        <v>2000</v>
      </c>
      <c r="I84" s="131" t="s">
        <v>123</v>
      </c>
      <c r="J84" s="131" t="s">
        <v>29</v>
      </c>
      <c r="K84" s="132" t="s">
        <v>30</v>
      </c>
      <c r="L84" s="132" t="s">
        <v>31</v>
      </c>
      <c r="M84" s="132" t="s">
        <v>32</v>
      </c>
      <c r="N84" s="132" t="s">
        <v>33</v>
      </c>
      <c r="O84" s="133"/>
      <c r="P84" s="133"/>
      <c r="R84" s="111"/>
      <c r="S84" s="168"/>
      <c r="T84" s="169" t="s">
        <v>114</v>
      </c>
      <c r="U84" s="212">
        <v>2000</v>
      </c>
      <c r="V84" s="131" t="s">
        <v>137</v>
      </c>
      <c r="W84" s="170" t="s">
        <v>111</v>
      </c>
      <c r="X84" s="132" t="s">
        <v>30</v>
      </c>
      <c r="Y84" s="132" t="s">
        <v>31</v>
      </c>
      <c r="Z84" s="132"/>
      <c r="AA84" s="132"/>
      <c r="AB84" s="170" t="s">
        <v>32</v>
      </c>
      <c r="AC84" s="132" t="s">
        <v>33</v>
      </c>
      <c r="AN84" s="111"/>
      <c r="AX84" s="111"/>
      <c r="AY84" s="111"/>
      <c r="BI84" s="111"/>
      <c r="BJ84" s="111"/>
      <c r="BK84" s="111"/>
      <c r="BL84" s="111"/>
      <c r="BM84" s="111"/>
      <c r="BN84" s="111"/>
      <c r="BO84" s="111"/>
      <c r="BP84" s="111"/>
    </row>
    <row r="85" spans="2:68" s="82" customFormat="1" x14ac:dyDescent="0.25">
      <c r="B85" s="149"/>
      <c r="E85" s="111"/>
      <c r="F85" s="135"/>
      <c r="G85" s="171"/>
      <c r="H85" s="64"/>
      <c r="I85" s="64"/>
      <c r="J85" s="65"/>
      <c r="K85" s="65"/>
      <c r="L85" s="64"/>
      <c r="M85" s="64"/>
      <c r="N85" s="64"/>
      <c r="O85" s="64"/>
      <c r="P85" s="64"/>
      <c r="R85" s="111"/>
      <c r="S85" s="171"/>
      <c r="T85" s="171"/>
      <c r="U85" s="171"/>
      <c r="V85" s="171"/>
      <c r="W85" s="135"/>
      <c r="X85" s="135"/>
      <c r="Y85" s="171"/>
      <c r="Z85" s="171"/>
      <c r="AA85" s="171"/>
      <c r="AB85" s="171"/>
      <c r="AC85" s="171"/>
      <c r="AN85" s="111"/>
      <c r="AX85" s="111"/>
      <c r="AY85" s="111"/>
      <c r="BI85" s="111"/>
      <c r="BJ85" s="111"/>
      <c r="BK85" s="111"/>
      <c r="BL85" s="111"/>
      <c r="BM85" s="111"/>
      <c r="BN85" s="111"/>
      <c r="BO85" s="111"/>
      <c r="BP85" s="111"/>
    </row>
    <row r="86" spans="2:68" s="82" customFormat="1" x14ac:dyDescent="0.25">
      <c r="B86" s="149"/>
      <c r="E86" s="111"/>
      <c r="F86" s="181"/>
      <c r="G86" s="111" t="str">
        <f>G68</f>
        <v>British Columbia, All ages, both sexes, Current smoker</v>
      </c>
      <c r="H86" s="64">
        <f>H68</f>
        <v>702795</v>
      </c>
      <c r="I86" s="64">
        <f>K68</f>
        <v>683836</v>
      </c>
      <c r="J86" s="64">
        <f>I86-H86</f>
        <v>-18959</v>
      </c>
      <c r="K86" s="134">
        <f>J86/H86</f>
        <v>-2.6976572115624042E-2</v>
      </c>
      <c r="L86" s="65">
        <f>SQRT(POWER(H86*H72/100,2)+POWER(I86*K72/100,2))</f>
        <v>26034.143471870473</v>
      </c>
      <c r="M86" s="65">
        <f>J86/L86</f>
        <v>-0.72823598058775907</v>
      </c>
      <c r="N86" s="65" t="str">
        <f>IF(AND(M86&gt;-2,M86&lt;2),"no","yes")</f>
        <v>no</v>
      </c>
      <c r="O86" s="65"/>
      <c r="P86" s="65"/>
      <c r="R86" s="111"/>
      <c r="T86" s="82" t="str">
        <f>T68</f>
        <v>British Columbia, All ages, both sexes, Current smoker</v>
      </c>
      <c r="U86" s="136">
        <f>U68</f>
        <v>0.20539525863240504</v>
      </c>
      <c r="V86" s="136">
        <f>AC68</f>
        <v>0.12567530948178224</v>
      </c>
      <c r="W86" s="137">
        <f>V86-U86</f>
        <v>-7.9719949150622804E-2</v>
      </c>
      <c r="X86" s="134">
        <f>W86/U86</f>
        <v>-0.38812945187453052</v>
      </c>
      <c r="Y86" s="65">
        <f>SQRT(POWER(U86*U72/100,2)+POWER(V86*AC72/100,2))</f>
        <v>6.6066505468428578E-3</v>
      </c>
      <c r="Z86" s="65"/>
      <c r="AA86" s="65"/>
      <c r="AB86" s="138">
        <f>W86/Y86</f>
        <v>-12.06662113962102</v>
      </c>
      <c r="AC86" s="135" t="str">
        <f>IF(AND(AB86&gt;-2,AB86&lt;2),"no","yes")</f>
        <v>yes</v>
      </c>
      <c r="AN86" s="111"/>
      <c r="AX86" s="111"/>
      <c r="AY86" s="111"/>
      <c r="BI86" s="111"/>
      <c r="BJ86" s="111"/>
      <c r="BK86" s="111"/>
      <c r="BL86" s="111"/>
      <c r="BM86" s="111"/>
      <c r="BN86" s="111"/>
      <c r="BO86" s="111"/>
      <c r="BP86" s="111"/>
    </row>
    <row r="87" spans="2:68" s="82" customFormat="1" x14ac:dyDescent="0.25">
      <c r="B87" s="149"/>
      <c r="E87" s="111"/>
      <c r="F87" s="181"/>
      <c r="G87" s="111" t="str">
        <f>G69</f>
        <v>Quebec, All ages, both sexes, Current smoker</v>
      </c>
      <c r="H87" s="64">
        <f>H69</f>
        <v>1830865</v>
      </c>
      <c r="I87" s="64">
        <f>K69</f>
        <v>1594257</v>
      </c>
      <c r="J87" s="64">
        <f>I87-H87</f>
        <v>-236608</v>
      </c>
      <c r="K87" s="134">
        <f>J87/H87</f>
        <v>-0.12923290357290132</v>
      </c>
      <c r="L87" s="65">
        <f>SQRT(POWER(H87*H73/100,2)+POWER(I87*K73/100,2))</f>
        <v>39250.728939703149</v>
      </c>
      <c r="M87" s="65">
        <f>J87/L87</f>
        <v>-6.0281173469026905</v>
      </c>
      <c r="N87" s="65" t="str">
        <f>IF(AND(M87&gt;-2,M87&lt;2),"no","yes")</f>
        <v>yes</v>
      </c>
      <c r="O87" s="65"/>
      <c r="P87" s="65"/>
      <c r="R87" s="111"/>
      <c r="T87" s="82" t="str">
        <f>T69</f>
        <v>Quebec, All ages, both sexes, Current smoker</v>
      </c>
      <c r="U87" s="136">
        <f>U69</f>
        <v>0.29450639919031307</v>
      </c>
      <c r="V87" s="136">
        <f>AC69</f>
        <v>0.17875765506331501</v>
      </c>
      <c r="W87" s="137">
        <f>V87-U87</f>
        <v>-0.11574874412699807</v>
      </c>
      <c r="X87" s="134">
        <f>W87/U87</f>
        <v>-0.39302624474451581</v>
      </c>
      <c r="Y87" s="65">
        <f>SQRT(POWER(U87*U73/100,2)+POWER(V87*AC73/100,2))</f>
        <v>6.7110035438631057E-3</v>
      </c>
      <c r="Z87" s="65"/>
      <c r="AA87" s="65"/>
      <c r="AB87" s="138">
        <f>W87/Y87</f>
        <v>-17.247605871530912</v>
      </c>
      <c r="AC87" s="135" t="str">
        <f>IF(AND(AB87&gt;-2,AB87&lt;2),"no","yes")</f>
        <v>yes</v>
      </c>
      <c r="AN87" s="111"/>
      <c r="AX87" s="111"/>
      <c r="AY87" s="111"/>
      <c r="BI87" s="111"/>
      <c r="BJ87" s="111"/>
      <c r="BK87" s="111"/>
      <c r="BL87" s="111"/>
      <c r="BM87" s="111"/>
      <c r="BN87" s="111"/>
      <c r="BO87" s="111"/>
      <c r="BP87" s="111"/>
    </row>
    <row r="88" spans="2:68" s="82" customFormat="1" x14ac:dyDescent="0.3">
      <c r="B88" s="149"/>
      <c r="E88" s="111"/>
      <c r="F88" s="181"/>
      <c r="G88" s="111"/>
      <c r="H88" s="61"/>
      <c r="I88" s="61"/>
      <c r="J88" s="61"/>
      <c r="K88" s="61"/>
      <c r="L88" s="61"/>
      <c r="M88" s="61"/>
      <c r="N88" s="61"/>
      <c r="O88" s="61"/>
      <c r="P88" s="61"/>
      <c r="R88" s="111"/>
      <c r="AC88" s="111"/>
      <c r="AN88" s="111"/>
      <c r="AX88" s="111"/>
      <c r="AY88" s="111"/>
      <c r="BI88" s="111"/>
      <c r="BJ88" s="111"/>
      <c r="BK88" s="111"/>
      <c r="BL88" s="111"/>
      <c r="BM88" s="111"/>
      <c r="BN88" s="111"/>
      <c r="BO88" s="111"/>
      <c r="BP88" s="111"/>
    </row>
    <row r="89" spans="2:68" s="82" customFormat="1" ht="24" x14ac:dyDescent="0.25">
      <c r="B89" s="149"/>
      <c r="E89" s="111"/>
      <c r="F89" s="181"/>
      <c r="G89" s="167" t="s">
        <v>140</v>
      </c>
      <c r="H89" s="131" t="s">
        <v>123</v>
      </c>
      <c r="I89" s="131" t="s">
        <v>128</v>
      </c>
      <c r="J89" s="131" t="s">
        <v>29</v>
      </c>
      <c r="K89" s="132" t="s">
        <v>30</v>
      </c>
      <c r="L89" s="132" t="s">
        <v>31</v>
      </c>
      <c r="M89" s="132" t="s">
        <v>32</v>
      </c>
      <c r="N89" s="132" t="s">
        <v>33</v>
      </c>
      <c r="O89" s="61"/>
      <c r="P89" s="61"/>
      <c r="R89" s="111"/>
      <c r="T89" s="167" t="s">
        <v>140</v>
      </c>
      <c r="U89" s="131" t="s">
        <v>123</v>
      </c>
      <c r="V89" s="131" t="s">
        <v>128</v>
      </c>
      <c r="W89" s="131" t="s">
        <v>29</v>
      </c>
      <c r="X89" s="132" t="s">
        <v>30</v>
      </c>
      <c r="Y89" s="132" t="s">
        <v>31</v>
      </c>
      <c r="Z89" s="132" t="s">
        <v>32</v>
      </c>
      <c r="AA89" s="132" t="s">
        <v>33</v>
      </c>
      <c r="AC89" s="111"/>
      <c r="AN89" s="111"/>
      <c r="AX89" s="111"/>
      <c r="AY89" s="111"/>
      <c r="BI89" s="111"/>
      <c r="BJ89" s="111"/>
      <c r="BK89" s="111"/>
      <c r="BL89" s="111"/>
      <c r="BM89" s="111"/>
      <c r="BN89" s="111"/>
      <c r="BO89" s="111"/>
      <c r="BP89" s="111"/>
    </row>
    <row r="90" spans="2:68" s="82" customFormat="1" x14ac:dyDescent="0.25">
      <c r="B90" s="149"/>
      <c r="E90" s="111"/>
      <c r="F90" s="181"/>
      <c r="G90" s="171"/>
      <c r="H90" s="61"/>
      <c r="I90" s="61"/>
      <c r="J90" s="61"/>
      <c r="K90" s="61"/>
      <c r="L90" s="61"/>
      <c r="M90" s="61"/>
      <c r="N90" s="61"/>
      <c r="O90" s="61"/>
      <c r="P90" s="61"/>
      <c r="R90" s="111"/>
      <c r="T90" s="171"/>
      <c r="U90" s="61"/>
      <c r="V90" s="61"/>
      <c r="W90" s="61"/>
      <c r="X90" s="61"/>
      <c r="Y90" s="61"/>
      <c r="Z90" s="61"/>
      <c r="AA90" s="61"/>
      <c r="AC90" s="111"/>
      <c r="AN90" s="111"/>
      <c r="AX90" s="111"/>
      <c r="AY90" s="111"/>
      <c r="BI90" s="111"/>
      <c r="BJ90" s="111"/>
      <c r="BK90" s="111"/>
      <c r="BL90" s="111"/>
      <c r="BM90" s="111"/>
      <c r="BN90" s="111"/>
      <c r="BO90" s="111"/>
      <c r="BP90" s="111"/>
    </row>
    <row r="91" spans="2:68" s="82" customFormat="1" x14ac:dyDescent="0.25">
      <c r="B91" s="149"/>
      <c r="E91" s="111"/>
      <c r="F91" s="181"/>
      <c r="G91" s="111" t="str">
        <f>G86</f>
        <v>British Columbia, All ages, both sexes, Current smoker</v>
      </c>
      <c r="H91" s="61">
        <f>K68</f>
        <v>683836</v>
      </c>
      <c r="I91" s="61">
        <f>P68</f>
        <v>518964</v>
      </c>
      <c r="J91" s="64">
        <f>I91-H91</f>
        <v>-164872</v>
      </c>
      <c r="K91" s="134">
        <f>J91/H91</f>
        <v>-0.24109874297346148</v>
      </c>
      <c r="L91" s="65">
        <f>SQRT(POWER(H91*K72/100,2)+POWER(I91*P72/100,2))</f>
        <v>26892.372327021207</v>
      </c>
      <c r="M91" s="65">
        <f>J91/L91</f>
        <v>-6.1308090634435457</v>
      </c>
      <c r="N91" s="65" t="str">
        <f>IF(AND(M91&gt;-2,M91&lt;2),"no","yes")</f>
        <v>yes</v>
      </c>
      <c r="O91" s="61"/>
      <c r="P91" s="61"/>
      <c r="R91" s="111"/>
      <c r="T91" s="111" t="str">
        <f>T86</f>
        <v>British Columbia, All ages, both sexes, Current smoker</v>
      </c>
      <c r="U91" s="136">
        <f>X68</f>
        <v>0.18190722262404513</v>
      </c>
      <c r="V91" s="136">
        <f>AC68</f>
        <v>0.12567530948178224</v>
      </c>
      <c r="W91" s="136">
        <f>V91-U91</f>
        <v>-5.623191314226289E-2</v>
      </c>
      <c r="X91" s="134">
        <f>W91/U91</f>
        <v>-0.3091241366401356</v>
      </c>
      <c r="Y91" s="65">
        <f>SQRT(POWER(U91*X72/100,2)+POWER(V91*AC72/100,2))</f>
        <v>6.8685432981770832E-3</v>
      </c>
      <c r="Z91" s="65">
        <f>W91/Y91</f>
        <v>-8.1868761251293094</v>
      </c>
      <c r="AA91" s="65" t="str">
        <f>IF(AND(Z91&gt;-2,Z91&lt;2),"no","yes")</f>
        <v>yes</v>
      </c>
      <c r="AC91" s="111"/>
      <c r="AN91" s="111"/>
      <c r="AX91" s="111"/>
      <c r="AY91" s="111"/>
      <c r="BI91" s="111"/>
      <c r="BJ91" s="111"/>
      <c r="BK91" s="111"/>
      <c r="BL91" s="111"/>
      <c r="BM91" s="111"/>
      <c r="BN91" s="111"/>
      <c r="BO91" s="111"/>
      <c r="BP91" s="111"/>
    </row>
    <row r="92" spans="2:68" s="82" customFormat="1" x14ac:dyDescent="0.25">
      <c r="B92" s="149"/>
      <c r="E92" s="111"/>
      <c r="F92" s="181"/>
      <c r="G92" s="111" t="str">
        <f>G87</f>
        <v>Quebec, All ages, both sexes, Current smoker</v>
      </c>
      <c r="H92" s="61">
        <f>K69</f>
        <v>1594257</v>
      </c>
      <c r="I92" s="61">
        <f>P69</f>
        <v>1279607</v>
      </c>
      <c r="J92" s="64">
        <f>I92-H92</f>
        <v>-314650</v>
      </c>
      <c r="K92" s="134">
        <f>J92/H92</f>
        <v>-0.19736466579729617</v>
      </c>
      <c r="L92" s="65">
        <f>SQRT(POWER(H92*K73/100,2)+POWER(I92*P73/100,2))</f>
        <v>39940.502719565891</v>
      </c>
      <c r="M92" s="65">
        <f>J92/L92</f>
        <v>-7.8779679416969515</v>
      </c>
      <c r="N92" s="65" t="str">
        <f>IF(AND(M92&gt;-2,M92&lt;2),"no","yes")</f>
        <v>yes</v>
      </c>
      <c r="O92" s="61"/>
      <c r="P92" s="61"/>
      <c r="R92" s="111"/>
      <c r="T92" s="111" t="str">
        <f>T87</f>
        <v>Quebec, All ages, both sexes, Current smoker</v>
      </c>
      <c r="U92" s="136">
        <f>X69</f>
        <v>0.24162218443379499</v>
      </c>
      <c r="V92" s="136">
        <f>AC69</f>
        <v>0.17875765506331501</v>
      </c>
      <c r="W92" s="136">
        <f>V92-U92</f>
        <v>-6.2864529370479982E-2</v>
      </c>
      <c r="X92" s="134">
        <f>W92/U92</f>
        <v>-0.26017697637240345</v>
      </c>
      <c r="Y92" s="65">
        <f>SQRT(POWER(U92*X73/100,2)+POWER(V92*AC73/100,2))</f>
        <v>5.7538878186588049E-3</v>
      </c>
      <c r="Z92" s="65">
        <f>W92/Y92</f>
        <v>-10.925574385830364</v>
      </c>
      <c r="AA92" s="65" t="str">
        <f>IF(AND(Z92&gt;-2,Z92&lt;2),"no","yes")</f>
        <v>yes</v>
      </c>
      <c r="AC92" s="111"/>
      <c r="AN92" s="111"/>
      <c r="AX92" s="111"/>
      <c r="AY92" s="111"/>
      <c r="BI92" s="111"/>
      <c r="BJ92" s="111"/>
      <c r="BK92" s="111"/>
      <c r="BL92" s="111"/>
      <c r="BM92" s="111"/>
      <c r="BN92" s="111"/>
      <c r="BO92" s="111"/>
      <c r="BP92" s="111"/>
    </row>
    <row r="93" spans="2:68" s="82" customFormat="1" x14ac:dyDescent="0.3">
      <c r="B93" s="149"/>
      <c r="E93" s="111"/>
      <c r="F93" s="181"/>
      <c r="G93" s="111"/>
      <c r="H93" s="61"/>
      <c r="I93" s="61"/>
      <c r="J93" s="61"/>
      <c r="K93" s="61"/>
      <c r="L93" s="61"/>
      <c r="M93" s="61"/>
      <c r="N93" s="61"/>
      <c r="O93" s="61"/>
      <c r="P93" s="61"/>
      <c r="R93" s="111"/>
      <c r="T93" s="111"/>
      <c r="U93" s="61"/>
      <c r="V93" s="61"/>
      <c r="W93" s="61"/>
      <c r="X93" s="61"/>
      <c r="Y93" s="61"/>
      <c r="Z93" s="61"/>
      <c r="AA93" s="61"/>
      <c r="AC93" s="111"/>
      <c r="AN93" s="111"/>
      <c r="AX93" s="111"/>
      <c r="AY93" s="111"/>
      <c r="BI93" s="111"/>
      <c r="BJ93" s="111"/>
      <c r="BK93" s="111"/>
      <c r="BL93" s="111"/>
      <c r="BM93" s="111"/>
      <c r="BN93" s="111"/>
      <c r="BO93" s="111"/>
      <c r="BP93" s="111"/>
    </row>
    <row r="94" spans="2:68" s="82" customFormat="1" x14ac:dyDescent="0.3">
      <c r="B94" s="149"/>
      <c r="E94" s="111"/>
      <c r="F94" s="181"/>
      <c r="G94" s="111"/>
      <c r="H94" s="61"/>
      <c r="I94" s="61"/>
      <c r="J94" s="61"/>
      <c r="K94" s="61"/>
      <c r="L94" s="61"/>
      <c r="M94" s="61"/>
      <c r="N94" s="61"/>
      <c r="O94" s="61"/>
      <c r="P94" s="61"/>
      <c r="R94" s="111"/>
      <c r="AC94" s="111"/>
      <c r="AN94" s="111"/>
      <c r="AX94" s="111"/>
      <c r="AY94" s="111"/>
      <c r="BI94" s="111"/>
      <c r="BJ94" s="111"/>
      <c r="BK94" s="111"/>
      <c r="BL94" s="111"/>
      <c r="BM94" s="111"/>
      <c r="BN94" s="111"/>
      <c r="BO94" s="111"/>
      <c r="BP94" s="111"/>
    </row>
    <row r="95" spans="2:68" s="82" customFormat="1" x14ac:dyDescent="0.3">
      <c r="B95" s="149"/>
      <c r="E95" s="111"/>
      <c r="F95" s="181"/>
      <c r="G95" s="111"/>
      <c r="H95" s="61"/>
      <c r="I95" s="61"/>
      <c r="J95" s="61"/>
      <c r="K95" s="61"/>
      <c r="L95" s="61"/>
      <c r="M95" s="61"/>
      <c r="N95" s="61"/>
      <c r="O95" s="61"/>
      <c r="P95" s="61"/>
      <c r="R95" s="111"/>
      <c r="AC95" s="111"/>
      <c r="AN95" s="111"/>
      <c r="AX95" s="111"/>
      <c r="AY95" s="111"/>
      <c r="BI95" s="111"/>
      <c r="BJ95" s="111"/>
      <c r="BK95" s="111"/>
      <c r="BL95" s="111"/>
      <c r="BM95" s="111"/>
      <c r="BN95" s="111"/>
      <c r="BO95" s="111"/>
      <c r="BP95" s="111"/>
    </row>
    <row r="96" spans="2:68" s="82" customFormat="1" x14ac:dyDescent="0.3">
      <c r="B96" s="149"/>
      <c r="E96" s="111"/>
      <c r="F96" s="181"/>
      <c r="G96" s="111"/>
      <c r="H96" s="61"/>
      <c r="I96" s="61"/>
      <c r="J96" s="61"/>
      <c r="K96" s="61"/>
      <c r="L96" s="61"/>
      <c r="M96" s="61"/>
      <c r="N96" s="61"/>
      <c r="O96" s="61"/>
      <c r="P96" s="61"/>
      <c r="R96" s="111"/>
      <c r="AC96" s="111"/>
      <c r="AN96" s="111"/>
      <c r="AX96" s="111"/>
      <c r="AY96" s="111"/>
      <c r="BI96" s="111"/>
      <c r="BJ96" s="111"/>
      <c r="BK96" s="111"/>
      <c r="BL96" s="111"/>
      <c r="BM96" s="111"/>
      <c r="BN96" s="111"/>
      <c r="BO96" s="111"/>
      <c r="BP96" s="111"/>
    </row>
    <row r="97" spans="2:68" s="82" customFormat="1" x14ac:dyDescent="0.3">
      <c r="B97" s="149"/>
      <c r="E97" s="111"/>
      <c r="F97" s="181"/>
      <c r="G97" s="111"/>
      <c r="H97" s="61"/>
      <c r="I97" s="61"/>
      <c r="J97" s="61"/>
      <c r="K97" s="61"/>
      <c r="L97" s="61"/>
      <c r="M97" s="61"/>
      <c r="N97" s="61"/>
      <c r="O97" s="61"/>
      <c r="P97" s="61"/>
      <c r="R97" s="111"/>
      <c r="AC97" s="111"/>
      <c r="AN97" s="111"/>
      <c r="AX97" s="111"/>
      <c r="AY97" s="111"/>
      <c r="BI97" s="111"/>
      <c r="BJ97" s="111"/>
      <c r="BK97" s="111"/>
      <c r="BL97" s="111"/>
      <c r="BM97" s="111"/>
      <c r="BN97" s="111"/>
      <c r="BO97" s="111"/>
      <c r="BP97" s="111"/>
    </row>
    <row r="98" spans="2:68" s="82" customFormat="1" x14ac:dyDescent="0.3">
      <c r="B98" s="149"/>
      <c r="E98" s="111"/>
      <c r="F98" s="181" t="s">
        <v>34</v>
      </c>
      <c r="G98" s="111"/>
      <c r="H98" s="61"/>
      <c r="I98" s="61"/>
      <c r="J98" s="61"/>
      <c r="K98" s="61"/>
      <c r="L98" s="61"/>
      <c r="M98" s="61"/>
      <c r="N98" s="61"/>
      <c r="O98" s="61"/>
      <c r="P98" s="61"/>
      <c r="R98" s="111"/>
      <c r="AC98" s="111"/>
      <c r="AN98" s="111"/>
      <c r="AX98" s="111"/>
      <c r="AY98" s="111"/>
      <c r="BI98" s="111"/>
      <c r="BJ98" s="111"/>
      <c r="BK98" s="111"/>
      <c r="BL98" s="111"/>
      <c r="BM98" s="111"/>
      <c r="BN98" s="111"/>
      <c r="BO98" s="111"/>
      <c r="BP98" s="111"/>
    </row>
    <row r="99" spans="2:68" s="82" customFormat="1" x14ac:dyDescent="0.3">
      <c r="B99" s="149"/>
      <c r="E99" s="111"/>
      <c r="F99" s="186" t="s">
        <v>35</v>
      </c>
      <c r="G99" s="192" t="s">
        <v>37</v>
      </c>
      <c r="H99" s="61"/>
      <c r="I99" s="61"/>
      <c r="J99" s="61"/>
      <c r="K99" s="61"/>
      <c r="L99" s="61"/>
      <c r="M99" s="61"/>
      <c r="N99" s="61"/>
      <c r="O99" s="61"/>
      <c r="P99" s="61"/>
      <c r="R99" s="111"/>
      <c r="AC99" s="111"/>
      <c r="AN99" s="111"/>
      <c r="AX99" s="111"/>
      <c r="AY99" s="111"/>
      <c r="BI99" s="111"/>
      <c r="BJ99" s="111"/>
      <c r="BK99" s="111"/>
      <c r="BL99" s="111"/>
      <c r="BM99" s="111"/>
      <c r="BN99" s="111"/>
      <c r="BO99" s="111"/>
      <c r="BP99" s="111"/>
    </row>
    <row r="100" spans="2:68" s="82" customFormat="1" x14ac:dyDescent="0.3">
      <c r="B100" s="149"/>
      <c r="E100" s="111"/>
      <c r="F100" s="181"/>
      <c r="G100" s="111"/>
      <c r="H100" s="121">
        <v>2001</v>
      </c>
      <c r="I100" s="121">
        <v>2003</v>
      </c>
      <c r="J100" s="121">
        <v>2005</v>
      </c>
      <c r="K100" s="122" t="s">
        <v>123</v>
      </c>
      <c r="L100" s="122" t="s">
        <v>124</v>
      </c>
      <c r="M100" s="122" t="s">
        <v>125</v>
      </c>
      <c r="N100" s="122" t="s">
        <v>126</v>
      </c>
      <c r="O100" s="122" t="s">
        <v>127</v>
      </c>
      <c r="P100" s="122" t="s">
        <v>128</v>
      </c>
      <c r="R100" s="111"/>
      <c r="AC100" s="111"/>
      <c r="AN100" s="111"/>
      <c r="AX100" s="111"/>
      <c r="AY100" s="111"/>
      <c r="BI100" s="111"/>
      <c r="BJ100" s="111"/>
      <c r="BK100" s="111"/>
      <c r="BL100" s="111"/>
      <c r="BM100" s="111"/>
      <c r="BN100" s="111"/>
      <c r="BO100" s="111"/>
      <c r="BP100" s="111"/>
    </row>
    <row r="101" spans="2:68" s="82" customFormat="1" x14ac:dyDescent="0.3">
      <c r="B101" s="149"/>
      <c r="E101" s="111"/>
      <c r="F101" s="181"/>
      <c r="G101" s="111" t="s">
        <v>36</v>
      </c>
      <c r="H101" s="61">
        <v>70294</v>
      </c>
      <c r="I101" s="61">
        <v>158530</v>
      </c>
      <c r="J101" s="61">
        <v>149850</v>
      </c>
      <c r="K101" s="61">
        <v>127633</v>
      </c>
      <c r="L101" s="61">
        <v>139290</v>
      </c>
      <c r="M101" s="61">
        <v>199316</v>
      </c>
      <c r="N101" s="61">
        <v>201882</v>
      </c>
      <c r="O101" s="61"/>
      <c r="P101" s="61"/>
      <c r="R101" s="111"/>
      <c r="AC101" s="111"/>
      <c r="AN101" s="111"/>
      <c r="AX101" s="111"/>
      <c r="AY101" s="111"/>
      <c r="BI101" s="111"/>
      <c r="BJ101" s="111"/>
      <c r="BK101" s="111"/>
      <c r="BL101" s="111"/>
      <c r="BM101" s="111"/>
      <c r="BN101" s="111"/>
      <c r="BO101" s="111"/>
      <c r="BP101" s="111"/>
    </row>
    <row r="102" spans="2:68" s="82" customFormat="1" x14ac:dyDescent="0.3">
      <c r="B102" s="149"/>
      <c r="E102" s="111"/>
      <c r="F102" s="181"/>
      <c r="G102" s="111"/>
      <c r="H102" s="61"/>
      <c r="I102" s="61"/>
      <c r="J102" s="61"/>
      <c r="K102" s="61"/>
      <c r="L102" s="61"/>
      <c r="M102" s="61"/>
      <c r="N102" s="61"/>
      <c r="O102" s="61"/>
      <c r="P102" s="61"/>
      <c r="R102" s="111"/>
      <c r="AC102" s="111"/>
      <c r="AN102" s="111"/>
      <c r="AX102" s="111"/>
      <c r="AY102" s="111"/>
      <c r="BI102" s="111"/>
      <c r="BJ102" s="111"/>
      <c r="BK102" s="111"/>
      <c r="BL102" s="111"/>
      <c r="BM102" s="111"/>
      <c r="BN102" s="111"/>
      <c r="BO102" s="111"/>
      <c r="BP102" s="111"/>
    </row>
    <row r="103" spans="2:68" s="82" customFormat="1" x14ac:dyDescent="0.3">
      <c r="B103" s="149"/>
      <c r="E103" s="111"/>
      <c r="F103" s="181"/>
      <c r="G103" s="195" t="s">
        <v>38</v>
      </c>
      <c r="H103" s="66">
        <f t="shared" ref="H103:N103" si="47">SUM(H101:H102)</f>
        <v>70294</v>
      </c>
      <c r="I103" s="66">
        <f t="shared" si="47"/>
        <v>158530</v>
      </c>
      <c r="J103" s="66">
        <f t="shared" si="47"/>
        <v>149850</v>
      </c>
      <c r="K103" s="66">
        <f t="shared" si="47"/>
        <v>127633</v>
      </c>
      <c r="L103" s="66">
        <f t="shared" si="47"/>
        <v>139290</v>
      </c>
      <c r="M103" s="66">
        <f t="shared" si="47"/>
        <v>199316</v>
      </c>
      <c r="N103" s="66">
        <f t="shared" si="47"/>
        <v>201882</v>
      </c>
      <c r="O103" s="119"/>
      <c r="P103" s="119"/>
      <c r="R103" s="111"/>
      <c r="AC103" s="111"/>
      <c r="AN103" s="111"/>
      <c r="AX103" s="111"/>
      <c r="AY103" s="111"/>
      <c r="BI103" s="111"/>
      <c r="BJ103" s="111"/>
      <c r="BK103" s="111"/>
      <c r="BL103" s="111"/>
      <c r="BM103" s="111"/>
      <c r="BN103" s="111"/>
      <c r="BO103" s="111"/>
      <c r="BP103" s="111"/>
    </row>
    <row r="104" spans="2:68" x14ac:dyDescent="0.3">
      <c r="F104" s="181"/>
      <c r="H104" s="67"/>
      <c r="I104" s="67"/>
      <c r="J104" s="67"/>
      <c r="K104" s="67"/>
      <c r="L104" s="67"/>
      <c r="M104" s="67"/>
      <c r="N104" s="67"/>
      <c r="O104" s="67"/>
      <c r="P104" s="67"/>
      <c r="Q104" s="87"/>
      <c r="R104" s="191"/>
      <c r="S104" s="87"/>
      <c r="T104" s="87"/>
      <c r="U104" s="87"/>
      <c r="V104" s="87"/>
      <c r="W104" s="87"/>
      <c r="X104" s="87"/>
      <c r="Y104" s="87"/>
      <c r="Z104" s="87"/>
      <c r="AA104" s="87"/>
      <c r="AB104" s="87"/>
      <c r="AC104" s="191"/>
    </row>
    <row r="105" spans="2:68" x14ac:dyDescent="0.3">
      <c r="F105" s="181"/>
      <c r="H105" s="67"/>
      <c r="I105" s="67"/>
      <c r="J105" s="67"/>
      <c r="K105" s="67"/>
      <c r="L105" s="67"/>
      <c r="M105" s="67"/>
      <c r="N105" s="67"/>
      <c r="O105" s="67"/>
      <c r="P105" s="67"/>
      <c r="Q105" s="87"/>
      <c r="R105" s="191"/>
      <c r="S105" s="87"/>
      <c r="T105" s="87"/>
      <c r="U105" s="87"/>
      <c r="V105" s="87"/>
      <c r="W105" s="87"/>
      <c r="X105" s="87"/>
      <c r="Y105" s="87"/>
      <c r="Z105" s="87"/>
      <c r="AA105" s="87"/>
      <c r="AB105" s="87"/>
      <c r="AC105" s="191"/>
    </row>
    <row r="106" spans="2:68" x14ac:dyDescent="0.3">
      <c r="F106" s="181"/>
      <c r="H106" s="67"/>
      <c r="I106" s="67"/>
      <c r="J106" s="67"/>
      <c r="K106" s="67"/>
      <c r="L106" s="67"/>
      <c r="M106" s="67"/>
      <c r="N106" s="67"/>
      <c r="O106" s="67"/>
      <c r="P106" s="67"/>
      <c r="Q106" s="87"/>
      <c r="R106" s="191"/>
      <c r="S106" s="87"/>
      <c r="T106" s="87"/>
      <c r="U106" s="87"/>
      <c r="V106" s="87"/>
      <c r="W106" s="87"/>
      <c r="X106" s="87"/>
      <c r="Y106" s="87"/>
      <c r="Z106" s="87"/>
      <c r="AA106" s="87"/>
      <c r="AB106" s="87"/>
      <c r="AC106" s="191"/>
    </row>
    <row r="107" spans="2:68" s="159" customFormat="1" x14ac:dyDescent="0.3">
      <c r="B107" s="157"/>
      <c r="C107" s="158"/>
      <c r="D107" s="158"/>
      <c r="E107" s="182" t="s">
        <v>20</v>
      </c>
      <c r="F107" s="183"/>
      <c r="G107" s="193"/>
      <c r="H107" s="62"/>
      <c r="I107" s="62"/>
      <c r="J107" s="62"/>
      <c r="K107" s="62"/>
      <c r="L107" s="62"/>
      <c r="M107" s="62"/>
      <c r="N107" s="62"/>
      <c r="O107" s="62"/>
      <c r="P107" s="62"/>
      <c r="R107" s="198"/>
      <c r="AC107" s="198"/>
      <c r="AN107" s="198"/>
      <c r="AX107" s="198"/>
      <c r="AY107" s="198"/>
      <c r="BI107" s="198"/>
      <c r="BJ107" s="198"/>
      <c r="BK107" s="198"/>
      <c r="BL107" s="198"/>
      <c r="BM107" s="198"/>
      <c r="BN107" s="198"/>
      <c r="BO107" s="198"/>
      <c r="BP107" s="198"/>
    </row>
    <row r="108" spans="2:68" x14ac:dyDescent="0.3">
      <c r="H108" s="56">
        <v>1</v>
      </c>
      <c r="I108" s="56">
        <v>2</v>
      </c>
      <c r="J108" s="56">
        <v>3</v>
      </c>
      <c r="K108" s="56">
        <v>4</v>
      </c>
      <c r="L108" s="56">
        <v>5</v>
      </c>
      <c r="M108" s="56">
        <v>6</v>
      </c>
      <c r="N108" s="56">
        <v>7</v>
      </c>
      <c r="O108" s="56">
        <v>8</v>
      </c>
      <c r="P108" s="56">
        <v>9</v>
      </c>
      <c r="Q108" s="56">
        <v>10</v>
      </c>
      <c r="R108" s="56">
        <v>11</v>
      </c>
      <c r="S108" s="56">
        <v>12</v>
      </c>
      <c r="T108" s="56">
        <v>13</v>
      </c>
      <c r="U108" s="56">
        <v>14</v>
      </c>
      <c r="V108" s="56">
        <v>15</v>
      </c>
      <c r="W108" s="56">
        <v>16</v>
      </c>
      <c r="X108" s="56">
        <v>17</v>
      </c>
      <c r="Y108" s="56">
        <v>18</v>
      </c>
      <c r="Z108" s="56">
        <v>19</v>
      </c>
      <c r="AA108" s="56">
        <v>20</v>
      </c>
      <c r="AB108" s="56">
        <v>21</v>
      </c>
      <c r="AC108" s="56">
        <v>22</v>
      </c>
      <c r="AD108" s="56">
        <v>23</v>
      </c>
      <c r="AE108" s="56">
        <v>24</v>
      </c>
      <c r="AF108" s="56">
        <v>25</v>
      </c>
      <c r="AG108" s="56">
        <v>26</v>
      </c>
      <c r="AH108" s="56">
        <v>27</v>
      </c>
      <c r="AI108" s="56">
        <v>28</v>
      </c>
      <c r="AJ108" s="56">
        <v>29</v>
      </c>
      <c r="AK108" s="56">
        <v>30</v>
      </c>
      <c r="AL108" s="56">
        <v>31</v>
      </c>
      <c r="AM108" s="56">
        <v>32</v>
      </c>
      <c r="AN108" s="56">
        <v>33</v>
      </c>
      <c r="AO108" s="56">
        <v>34</v>
      </c>
      <c r="AP108" s="56">
        <v>35</v>
      </c>
      <c r="AQ108" s="56">
        <v>36</v>
      </c>
      <c r="AR108" s="56">
        <v>37</v>
      </c>
      <c r="AS108" s="56">
        <v>38</v>
      </c>
      <c r="AT108" s="56">
        <v>39</v>
      </c>
      <c r="AU108" s="56">
        <v>40</v>
      </c>
      <c r="AV108" s="56">
        <v>41</v>
      </c>
      <c r="AW108" s="56">
        <v>42</v>
      </c>
      <c r="AX108" s="56">
        <v>43</v>
      </c>
      <c r="AY108" s="56">
        <v>44</v>
      </c>
      <c r="AZ108" s="56">
        <v>45</v>
      </c>
      <c r="BA108" s="56">
        <v>46</v>
      </c>
      <c r="BB108" s="56">
        <v>47</v>
      </c>
      <c r="BC108" s="56">
        <v>48</v>
      </c>
      <c r="BD108" s="56">
        <v>49</v>
      </c>
      <c r="BE108" s="56">
        <v>50</v>
      </c>
      <c r="BF108" s="56">
        <v>51</v>
      </c>
      <c r="BG108" s="56">
        <v>52</v>
      </c>
      <c r="BH108" s="56">
        <v>53</v>
      </c>
      <c r="BI108" s="56">
        <v>54</v>
      </c>
      <c r="BJ108" s="56">
        <v>55</v>
      </c>
      <c r="BK108" s="56">
        <v>56</v>
      </c>
      <c r="BL108" s="56">
        <v>57</v>
      </c>
      <c r="BM108" s="56">
        <v>58</v>
      </c>
      <c r="BN108" s="56">
        <v>59</v>
      </c>
    </row>
    <row r="109" spans="2:68" x14ac:dyDescent="0.3">
      <c r="H109" s="68" t="s">
        <v>44</v>
      </c>
    </row>
    <row r="111" spans="2:68" s="173" customFormat="1" x14ac:dyDescent="0.3">
      <c r="B111" s="172"/>
      <c r="C111" s="85"/>
      <c r="D111" s="85"/>
      <c r="E111" s="188"/>
      <c r="F111" s="189"/>
      <c r="G111" s="197"/>
      <c r="H111" s="69" t="s">
        <v>15</v>
      </c>
      <c r="I111" s="69"/>
      <c r="J111" s="69"/>
      <c r="K111" s="69"/>
      <c r="L111" s="69"/>
      <c r="M111" s="69"/>
      <c r="N111" s="69"/>
      <c r="O111" s="69"/>
      <c r="P111" s="69"/>
      <c r="R111" s="199" t="s">
        <v>16</v>
      </c>
      <c r="AC111" s="199"/>
      <c r="AD111" s="173" t="s">
        <v>17</v>
      </c>
      <c r="AN111" s="199"/>
      <c r="AO111" s="173" t="s">
        <v>18</v>
      </c>
      <c r="AX111" s="199"/>
      <c r="AY111" s="199"/>
      <c r="AZ111" s="173" t="s">
        <v>19</v>
      </c>
      <c r="BI111" s="199"/>
      <c r="BJ111" s="199"/>
      <c r="BK111" s="199"/>
      <c r="BL111" s="199"/>
      <c r="BM111" s="199"/>
      <c r="BN111" s="199"/>
      <c r="BO111" s="199"/>
      <c r="BP111" s="199"/>
    </row>
    <row r="112" spans="2:68" x14ac:dyDescent="0.3">
      <c r="H112" s="122" t="s">
        <v>122</v>
      </c>
      <c r="I112" s="121">
        <v>2003</v>
      </c>
      <c r="J112" s="121">
        <v>2005</v>
      </c>
      <c r="K112" s="122" t="s">
        <v>123</v>
      </c>
      <c r="L112" s="122" t="s">
        <v>124</v>
      </c>
      <c r="M112" s="122" t="s">
        <v>125</v>
      </c>
      <c r="N112" s="122" t="s">
        <v>126</v>
      </c>
      <c r="O112" s="122" t="s">
        <v>127</v>
      </c>
      <c r="P112" s="122" t="s">
        <v>128</v>
      </c>
      <c r="R112" s="197" t="s">
        <v>8</v>
      </c>
      <c r="S112" s="120" t="s">
        <v>122</v>
      </c>
      <c r="T112" s="121">
        <v>2003</v>
      </c>
      <c r="U112" s="121">
        <v>2005</v>
      </c>
      <c r="V112" s="122" t="s">
        <v>123</v>
      </c>
      <c r="W112" s="122" t="s">
        <v>124</v>
      </c>
      <c r="X112" s="122" t="s">
        <v>125</v>
      </c>
      <c r="Y112" s="122" t="s">
        <v>126</v>
      </c>
      <c r="Z112" s="122" t="s">
        <v>127</v>
      </c>
      <c r="AA112" s="122" t="s">
        <v>128</v>
      </c>
      <c r="AC112" s="197" t="s">
        <v>8</v>
      </c>
      <c r="AD112" s="120" t="s">
        <v>122</v>
      </c>
      <c r="AE112" s="121">
        <v>2003</v>
      </c>
      <c r="AF112" s="121">
        <v>2005</v>
      </c>
      <c r="AG112" s="122" t="s">
        <v>123</v>
      </c>
      <c r="AH112" s="122" t="s">
        <v>124</v>
      </c>
      <c r="AI112" s="122" t="s">
        <v>125</v>
      </c>
      <c r="AJ112" s="122" t="s">
        <v>126</v>
      </c>
      <c r="AK112" s="122" t="s">
        <v>127</v>
      </c>
      <c r="AL112" s="122" t="s">
        <v>128</v>
      </c>
      <c r="AN112" s="197" t="s">
        <v>8</v>
      </c>
      <c r="AO112" s="120" t="s">
        <v>122</v>
      </c>
      <c r="AP112" s="121">
        <v>2003</v>
      </c>
      <c r="AQ112" s="121">
        <v>2005</v>
      </c>
      <c r="AR112" s="122" t="s">
        <v>123</v>
      </c>
      <c r="AS112" s="122" t="s">
        <v>124</v>
      </c>
      <c r="AT112" s="122" t="s">
        <v>125</v>
      </c>
      <c r="AU112" s="122" t="s">
        <v>126</v>
      </c>
      <c r="AV112" s="122" t="s">
        <v>127</v>
      </c>
      <c r="AW112" s="122" t="s">
        <v>128</v>
      </c>
      <c r="AY112" s="197" t="s">
        <v>8</v>
      </c>
      <c r="AZ112" s="120" t="s">
        <v>122</v>
      </c>
      <c r="BA112" s="121">
        <v>2003</v>
      </c>
      <c r="BB112" s="121">
        <v>2005</v>
      </c>
      <c r="BC112" s="122" t="s">
        <v>123</v>
      </c>
      <c r="BD112" s="122" t="s">
        <v>124</v>
      </c>
      <c r="BE112" s="122" t="s">
        <v>125</v>
      </c>
      <c r="BF112" s="122" t="s">
        <v>126</v>
      </c>
      <c r="BG112" s="122" t="s">
        <v>127</v>
      </c>
      <c r="BH112" s="122" t="s">
        <v>128</v>
      </c>
    </row>
    <row r="113" spans="2:68" s="87" customFormat="1" x14ac:dyDescent="0.25">
      <c r="B113" s="84"/>
      <c r="C113" s="85"/>
      <c r="D113" s="85"/>
      <c r="E113" s="109" t="s">
        <v>0</v>
      </c>
      <c r="F113" s="110" t="s">
        <v>60</v>
      </c>
      <c r="G113" s="195" t="s">
        <v>7</v>
      </c>
      <c r="H113" s="69">
        <v>61433</v>
      </c>
      <c r="I113" s="69">
        <v>57939</v>
      </c>
      <c r="J113" s="69">
        <v>53254</v>
      </c>
      <c r="K113" s="69">
        <v>49280</v>
      </c>
      <c r="L113" s="69">
        <v>47721</v>
      </c>
      <c r="M113" s="69">
        <v>45184</v>
      </c>
      <c r="N113" s="69">
        <v>43558</v>
      </c>
      <c r="O113" s="69">
        <v>43947</v>
      </c>
      <c r="P113" s="69">
        <v>40307</v>
      </c>
      <c r="R113" s="195" t="s">
        <v>7</v>
      </c>
      <c r="S113" s="226">
        <v>1.8</v>
      </c>
      <c r="T113" s="226">
        <v>2.1</v>
      </c>
      <c r="U113" s="226">
        <v>2.1</v>
      </c>
      <c r="V113" s="226">
        <v>2.1</v>
      </c>
      <c r="W113" s="226">
        <v>2.2000000000000002</v>
      </c>
      <c r="X113" s="226">
        <v>2.2999999999999998</v>
      </c>
      <c r="Y113" s="226">
        <v>2.4</v>
      </c>
      <c r="Z113" s="226">
        <v>2.6</v>
      </c>
      <c r="AA113" s="226">
        <v>2.6</v>
      </c>
      <c r="AB113" s="125"/>
      <c r="AC113" s="195" t="s">
        <v>7</v>
      </c>
      <c r="AD113" s="69">
        <f>2*(H113*S113/100)</f>
        <v>2211.5880000000002</v>
      </c>
      <c r="AE113" s="69">
        <f t="shared" ref="AE113:AJ128" si="48">2*(I113*T113/100)</f>
        <v>2433.4380000000001</v>
      </c>
      <c r="AF113" s="69">
        <f t="shared" si="48"/>
        <v>2236.6680000000001</v>
      </c>
      <c r="AG113" s="69">
        <f t="shared" si="48"/>
        <v>2069.7600000000002</v>
      </c>
      <c r="AH113" s="69">
        <f t="shared" si="48"/>
        <v>2099.7240000000002</v>
      </c>
      <c r="AI113" s="69">
        <f t="shared" si="48"/>
        <v>2078.4639999999999</v>
      </c>
      <c r="AJ113" s="69">
        <f t="shared" si="48"/>
        <v>2090.7840000000001</v>
      </c>
      <c r="AK113" s="69">
        <f>2*(O113*Z113/100)</f>
        <v>2285.2440000000001</v>
      </c>
      <c r="AL113" s="69">
        <f>2*(P113*AA113/100)</f>
        <v>2095.9639999999999</v>
      </c>
      <c r="AN113" s="195" t="s">
        <v>7</v>
      </c>
      <c r="AO113" s="98">
        <f t="shared" ref="AO113:AW113" si="49">H113/H113</f>
        <v>1</v>
      </c>
      <c r="AP113" s="98">
        <f t="shared" si="49"/>
        <v>1</v>
      </c>
      <c r="AQ113" s="98">
        <f t="shared" si="49"/>
        <v>1</v>
      </c>
      <c r="AR113" s="98">
        <f t="shared" si="49"/>
        <v>1</v>
      </c>
      <c r="AS113" s="98">
        <f t="shared" si="49"/>
        <v>1</v>
      </c>
      <c r="AT113" s="98">
        <f t="shared" si="49"/>
        <v>1</v>
      </c>
      <c r="AU113" s="98">
        <f t="shared" si="49"/>
        <v>1</v>
      </c>
      <c r="AV113" s="98">
        <f t="shared" si="49"/>
        <v>1</v>
      </c>
      <c r="AW113" s="98">
        <f t="shared" si="49"/>
        <v>1</v>
      </c>
      <c r="AX113" s="191"/>
      <c r="AY113" s="195" t="s">
        <v>7</v>
      </c>
      <c r="AZ113" s="178">
        <f t="shared" ref="AZ113:AZ152" si="50">2*(S113*AO113/100)</f>
        <v>3.6000000000000004E-2</v>
      </c>
      <c r="BA113" s="178">
        <f t="shared" ref="BA113:BH113" si="51">2*(T113*AP113/100)</f>
        <v>4.2000000000000003E-2</v>
      </c>
      <c r="BB113" s="178">
        <f t="shared" si="51"/>
        <v>4.2000000000000003E-2</v>
      </c>
      <c r="BC113" s="178">
        <f t="shared" si="51"/>
        <v>4.2000000000000003E-2</v>
      </c>
      <c r="BD113" s="178">
        <f t="shared" si="51"/>
        <v>4.4000000000000004E-2</v>
      </c>
      <c r="BE113" s="178">
        <f t="shared" si="51"/>
        <v>4.5999999999999999E-2</v>
      </c>
      <c r="BF113" s="178">
        <f t="shared" si="51"/>
        <v>4.8000000000000001E-2</v>
      </c>
      <c r="BG113" s="178">
        <f t="shared" si="51"/>
        <v>5.2000000000000005E-2</v>
      </c>
      <c r="BH113" s="178">
        <f t="shared" si="51"/>
        <v>5.2000000000000005E-2</v>
      </c>
      <c r="BI113" s="191"/>
      <c r="BJ113" s="191"/>
      <c r="BK113" s="191"/>
      <c r="BL113" s="191"/>
      <c r="BM113" s="191"/>
      <c r="BN113" s="191"/>
      <c r="BO113" s="191"/>
      <c r="BP113" s="191"/>
    </row>
    <row r="114" spans="2:68" s="108" customFormat="1" x14ac:dyDescent="0.25">
      <c r="B114" s="107"/>
      <c r="E114" s="109" t="s">
        <v>0</v>
      </c>
      <c r="F114" s="110" t="s">
        <v>60</v>
      </c>
      <c r="G114" s="111" t="s">
        <v>54</v>
      </c>
      <c r="H114" s="112">
        <v>11311</v>
      </c>
      <c r="I114" s="112">
        <v>9855</v>
      </c>
      <c r="J114" s="112">
        <v>9415</v>
      </c>
      <c r="K114" s="112">
        <v>6462</v>
      </c>
      <c r="L114" s="112">
        <v>7854</v>
      </c>
      <c r="M114" s="112">
        <v>4711</v>
      </c>
      <c r="N114" s="112">
        <v>4489</v>
      </c>
      <c r="O114" s="112" t="s">
        <v>129</v>
      </c>
      <c r="P114" s="112" t="s">
        <v>129</v>
      </c>
      <c r="R114" s="111" t="s">
        <v>54</v>
      </c>
      <c r="S114" s="220">
        <v>12.3</v>
      </c>
      <c r="T114" s="220">
        <v>15</v>
      </c>
      <c r="U114" s="220">
        <v>14.2</v>
      </c>
      <c r="V114" s="220">
        <v>17.100000000000001</v>
      </c>
      <c r="W114" s="220">
        <v>16.600000000000001</v>
      </c>
      <c r="X114" s="220">
        <v>23.8</v>
      </c>
      <c r="Y114" s="220">
        <v>23.1</v>
      </c>
      <c r="Z114" s="220" t="s">
        <v>129</v>
      </c>
      <c r="AA114" s="220" t="s">
        <v>129</v>
      </c>
      <c r="AB114" s="126"/>
      <c r="AC114" s="111" t="s">
        <v>54</v>
      </c>
      <c r="AD114" s="112">
        <f>2*(H114*S114/100)</f>
        <v>2782.5060000000003</v>
      </c>
      <c r="AE114" s="112">
        <f t="shared" si="48"/>
        <v>2956.5</v>
      </c>
      <c r="AF114" s="112">
        <f t="shared" si="48"/>
        <v>2673.86</v>
      </c>
      <c r="AG114" s="112">
        <f t="shared" si="48"/>
        <v>2210.0040000000004</v>
      </c>
      <c r="AH114" s="112">
        <f t="shared" si="48"/>
        <v>2607.5280000000002</v>
      </c>
      <c r="AI114" s="112">
        <f t="shared" si="48"/>
        <v>2242.4360000000001</v>
      </c>
      <c r="AJ114" s="112">
        <f t="shared" si="48"/>
        <v>2073.9180000000001</v>
      </c>
      <c r="AK114" s="112" t="e">
        <f t="shared" ref="AK114:AL129" si="52">2*(O114*Z114/100)</f>
        <v>#VALUE!</v>
      </c>
      <c r="AL114" s="112" t="e">
        <f t="shared" si="52"/>
        <v>#VALUE!</v>
      </c>
      <c r="AN114" s="111" t="s">
        <v>54</v>
      </c>
      <c r="AO114" s="113">
        <f t="shared" ref="AO114:AW114" si="53">H114/H113</f>
        <v>0.18411928442368108</v>
      </c>
      <c r="AP114" s="113">
        <f t="shared" si="53"/>
        <v>0.17009268368456479</v>
      </c>
      <c r="AQ114" s="113">
        <f t="shared" si="53"/>
        <v>0.17679423141923611</v>
      </c>
      <c r="AR114" s="113">
        <f t="shared" si="53"/>
        <v>0.13112824675324675</v>
      </c>
      <c r="AS114" s="113">
        <f t="shared" si="53"/>
        <v>0.16458163072861004</v>
      </c>
      <c r="AT114" s="113">
        <f t="shared" si="53"/>
        <v>0.10426257082152975</v>
      </c>
      <c r="AU114" s="113">
        <f t="shared" si="53"/>
        <v>0.10305799164332614</v>
      </c>
      <c r="AV114" s="113" t="e">
        <f t="shared" si="53"/>
        <v>#VALUE!</v>
      </c>
      <c r="AW114" s="113" t="e">
        <f t="shared" si="53"/>
        <v>#VALUE!</v>
      </c>
      <c r="AY114" s="111" t="s">
        <v>54</v>
      </c>
      <c r="AZ114" s="179">
        <f t="shared" si="50"/>
        <v>4.5293343968225548E-2</v>
      </c>
      <c r="BA114" s="179">
        <f t="shared" ref="BA114" si="54">2*(T114*AP114/100)</f>
        <v>5.1027805105369438E-2</v>
      </c>
      <c r="BB114" s="179">
        <f t="shared" ref="BB114" si="55">2*(U114*AQ114/100)</f>
        <v>5.0209561723063054E-2</v>
      </c>
      <c r="BC114" s="179">
        <f t="shared" ref="BC114" si="56">2*(V114*AR114/100)</f>
        <v>4.4845860389610387E-2</v>
      </c>
      <c r="BD114" s="179">
        <f t="shared" ref="BD114" si="57">2*(W114*AS114/100)</f>
        <v>5.464110140189854E-2</v>
      </c>
      <c r="BE114" s="179">
        <f t="shared" ref="BE114" si="58">2*(X114*AT114/100)</f>
        <v>4.9628983711048159E-2</v>
      </c>
      <c r="BF114" s="179">
        <f t="shared" ref="BF114:BH114" si="59">2*(Y114*AU114/100)</f>
        <v>4.7612792139216681E-2</v>
      </c>
      <c r="BG114" s="179" t="e">
        <f t="shared" si="59"/>
        <v>#VALUE!</v>
      </c>
      <c r="BH114" s="179" t="e">
        <f t="shared" si="59"/>
        <v>#VALUE!</v>
      </c>
    </row>
    <row r="115" spans="2:68" s="108" customFormat="1" x14ac:dyDescent="0.25">
      <c r="B115" s="107"/>
      <c r="E115" s="109" t="s">
        <v>0</v>
      </c>
      <c r="F115" s="110" t="s">
        <v>60</v>
      </c>
      <c r="G115" s="111" t="s">
        <v>55</v>
      </c>
      <c r="H115" s="70">
        <v>3237</v>
      </c>
      <c r="I115" s="70">
        <v>3307</v>
      </c>
      <c r="J115" s="112" t="s">
        <v>129</v>
      </c>
      <c r="K115" s="112" t="s">
        <v>129</v>
      </c>
      <c r="L115" s="112" t="s">
        <v>129</v>
      </c>
      <c r="M115" s="112" t="s">
        <v>129</v>
      </c>
      <c r="N115" s="112" t="s">
        <v>129</v>
      </c>
      <c r="O115" s="112" t="s">
        <v>129</v>
      </c>
      <c r="P115" s="112" t="s">
        <v>129</v>
      </c>
      <c r="R115" s="111" t="s">
        <v>55</v>
      </c>
      <c r="S115" s="81">
        <v>24.8</v>
      </c>
      <c r="T115" s="81">
        <v>27.5</v>
      </c>
      <c r="U115" s="81" t="s">
        <v>57</v>
      </c>
      <c r="V115" s="81" t="s">
        <v>57</v>
      </c>
      <c r="W115" s="81" t="s">
        <v>57</v>
      </c>
      <c r="X115" s="81" t="s">
        <v>57</v>
      </c>
      <c r="Y115" s="81" t="s">
        <v>57</v>
      </c>
      <c r="Z115" s="81" t="s">
        <v>129</v>
      </c>
      <c r="AA115" s="81" t="s">
        <v>129</v>
      </c>
      <c r="AB115" s="126"/>
      <c r="AC115" s="111" t="s">
        <v>55</v>
      </c>
      <c r="AD115" s="70">
        <f t="shared" ref="AD115:AD152" si="60">2*(H115*S115/100)</f>
        <v>1605.5520000000001</v>
      </c>
      <c r="AE115" s="70">
        <f t="shared" si="48"/>
        <v>1818.85</v>
      </c>
      <c r="AF115" s="70" t="e">
        <f t="shared" si="48"/>
        <v>#VALUE!</v>
      </c>
      <c r="AG115" s="70" t="e">
        <f t="shared" si="48"/>
        <v>#VALUE!</v>
      </c>
      <c r="AH115" s="70" t="e">
        <f t="shared" si="48"/>
        <v>#VALUE!</v>
      </c>
      <c r="AI115" s="70" t="e">
        <f t="shared" si="48"/>
        <v>#VALUE!</v>
      </c>
      <c r="AJ115" s="70" t="e">
        <f t="shared" si="48"/>
        <v>#VALUE!</v>
      </c>
      <c r="AK115" s="70" t="e">
        <f t="shared" si="52"/>
        <v>#VALUE!</v>
      </c>
      <c r="AL115" s="70" t="e">
        <f t="shared" si="52"/>
        <v>#VALUE!</v>
      </c>
      <c r="AN115" s="111" t="s">
        <v>55</v>
      </c>
      <c r="AO115" s="113">
        <f t="shared" ref="AO115:AW115" si="61">H115/H113</f>
        <v>5.2691550144059379E-2</v>
      </c>
      <c r="AP115" s="113">
        <f t="shared" si="61"/>
        <v>5.707727092286715E-2</v>
      </c>
      <c r="AQ115" s="113" t="e">
        <f t="shared" si="61"/>
        <v>#VALUE!</v>
      </c>
      <c r="AR115" s="113" t="e">
        <f t="shared" si="61"/>
        <v>#VALUE!</v>
      </c>
      <c r="AS115" s="113" t="e">
        <f t="shared" si="61"/>
        <v>#VALUE!</v>
      </c>
      <c r="AT115" s="113" t="e">
        <f t="shared" si="61"/>
        <v>#VALUE!</v>
      </c>
      <c r="AU115" s="113" t="e">
        <f t="shared" si="61"/>
        <v>#VALUE!</v>
      </c>
      <c r="AV115" s="113" t="e">
        <f t="shared" si="61"/>
        <v>#VALUE!</v>
      </c>
      <c r="AW115" s="113" t="e">
        <f t="shared" si="61"/>
        <v>#VALUE!</v>
      </c>
      <c r="AY115" s="111" t="s">
        <v>55</v>
      </c>
      <c r="AZ115" s="179">
        <f t="shared" si="50"/>
        <v>2.6135008871453452E-2</v>
      </c>
      <c r="BA115" s="179">
        <f t="shared" ref="BA115:BA119" si="62">2*(T115*AP115/100)</f>
        <v>3.1392499007576929E-2</v>
      </c>
      <c r="BB115" s="179" t="e">
        <f t="shared" ref="BB115:BB119" si="63">2*(U115*AQ115/100)</f>
        <v>#VALUE!</v>
      </c>
      <c r="BC115" s="179" t="e">
        <f t="shared" ref="BC115:BC119" si="64">2*(V115*AR115/100)</f>
        <v>#VALUE!</v>
      </c>
      <c r="BD115" s="179" t="e">
        <f t="shared" ref="BD115:BD119" si="65">2*(W115*AS115/100)</f>
        <v>#VALUE!</v>
      </c>
      <c r="BE115" s="179" t="e">
        <f t="shared" ref="BE115:BE119" si="66">2*(X115*AT115/100)</f>
        <v>#VALUE!</v>
      </c>
      <c r="BF115" s="179" t="e">
        <f t="shared" ref="BF115:BH119" si="67">2*(Y115*AU115/100)</f>
        <v>#VALUE!</v>
      </c>
      <c r="BG115" s="179" t="e">
        <f t="shared" si="67"/>
        <v>#VALUE!</v>
      </c>
      <c r="BH115" s="179" t="e">
        <f t="shared" si="67"/>
        <v>#VALUE!</v>
      </c>
    </row>
    <row r="116" spans="2:68" s="108" customFormat="1" x14ac:dyDescent="0.25">
      <c r="B116" s="107"/>
      <c r="E116" s="109" t="s">
        <v>0</v>
      </c>
      <c r="F116" s="110" t="s">
        <v>60</v>
      </c>
      <c r="G116" s="111" t="s">
        <v>130</v>
      </c>
      <c r="H116" s="70">
        <v>6360</v>
      </c>
      <c r="I116" s="70">
        <v>7075</v>
      </c>
      <c r="J116" s="70">
        <v>4486</v>
      </c>
      <c r="K116" s="70">
        <v>4893</v>
      </c>
      <c r="L116" s="70">
        <v>4572</v>
      </c>
      <c r="M116" s="70">
        <v>4315</v>
      </c>
      <c r="N116" s="70">
        <v>2552</v>
      </c>
      <c r="O116" s="112" t="s">
        <v>129</v>
      </c>
      <c r="P116" s="112" t="s">
        <v>129</v>
      </c>
      <c r="R116" s="111" t="s">
        <v>130</v>
      </c>
      <c r="S116" s="220">
        <v>17.100000000000001</v>
      </c>
      <c r="T116" s="220">
        <v>17.5</v>
      </c>
      <c r="U116" s="220">
        <v>22.5</v>
      </c>
      <c r="V116" s="220">
        <v>20.9</v>
      </c>
      <c r="W116" s="220">
        <v>25.5</v>
      </c>
      <c r="X116" s="220">
        <v>24.5</v>
      </c>
      <c r="Y116" s="220">
        <v>33.5</v>
      </c>
      <c r="Z116" s="220" t="s">
        <v>129</v>
      </c>
      <c r="AA116" s="220" t="s">
        <v>129</v>
      </c>
      <c r="AB116" s="126"/>
      <c r="AC116" s="111" t="s">
        <v>130</v>
      </c>
      <c r="AD116" s="70">
        <f t="shared" si="60"/>
        <v>2175.1200000000003</v>
      </c>
      <c r="AE116" s="70">
        <f t="shared" si="48"/>
        <v>2476.25</v>
      </c>
      <c r="AF116" s="70">
        <f t="shared" si="48"/>
        <v>2018.7</v>
      </c>
      <c r="AG116" s="70">
        <f t="shared" si="48"/>
        <v>2045.2739999999999</v>
      </c>
      <c r="AH116" s="70">
        <f t="shared" si="48"/>
        <v>2331.7199999999998</v>
      </c>
      <c r="AI116" s="70">
        <f t="shared" si="48"/>
        <v>2114.35</v>
      </c>
      <c r="AJ116" s="70">
        <f t="shared" si="48"/>
        <v>1709.84</v>
      </c>
      <c r="AK116" s="70" t="e">
        <f t="shared" si="52"/>
        <v>#VALUE!</v>
      </c>
      <c r="AL116" s="70" t="e">
        <f t="shared" si="52"/>
        <v>#VALUE!</v>
      </c>
      <c r="AN116" s="111" t="s">
        <v>130</v>
      </c>
      <c r="AO116" s="113">
        <f t="shared" ref="AO116:AW116" si="68">H116/H113</f>
        <v>0.10352742011622418</v>
      </c>
      <c r="AP116" s="113">
        <f t="shared" si="68"/>
        <v>0.12211118590241461</v>
      </c>
      <c r="AQ116" s="113">
        <f t="shared" si="68"/>
        <v>8.423780373305291E-2</v>
      </c>
      <c r="AR116" s="113">
        <f t="shared" si="68"/>
        <v>9.9289772727272727E-2</v>
      </c>
      <c r="AS116" s="113">
        <f t="shared" si="68"/>
        <v>9.5806877475325333E-2</v>
      </c>
      <c r="AT116" s="113">
        <f t="shared" si="68"/>
        <v>9.5498406515580739E-2</v>
      </c>
      <c r="AU116" s="113">
        <f t="shared" si="68"/>
        <v>5.8588548601864181E-2</v>
      </c>
      <c r="AV116" s="113" t="e">
        <f t="shared" si="68"/>
        <v>#VALUE!</v>
      </c>
      <c r="AW116" s="113" t="e">
        <f t="shared" si="68"/>
        <v>#VALUE!</v>
      </c>
      <c r="AY116" s="111" t="s">
        <v>130</v>
      </c>
      <c r="AZ116" s="179">
        <f t="shared" si="50"/>
        <v>3.540637767974867E-2</v>
      </c>
      <c r="BA116" s="179">
        <f t="shared" si="62"/>
        <v>4.2738915065845109E-2</v>
      </c>
      <c r="BB116" s="179">
        <f t="shared" si="63"/>
        <v>3.7907011679873807E-2</v>
      </c>
      <c r="BC116" s="179">
        <f t="shared" si="64"/>
        <v>4.1503125000000002E-2</v>
      </c>
      <c r="BD116" s="179">
        <f t="shared" si="65"/>
        <v>4.8861507512415921E-2</v>
      </c>
      <c r="BE116" s="179">
        <f t="shared" si="66"/>
        <v>4.6794219192634559E-2</v>
      </c>
      <c r="BF116" s="179">
        <f t="shared" si="67"/>
        <v>3.9254327563249002E-2</v>
      </c>
      <c r="BG116" s="179" t="e">
        <f t="shared" si="67"/>
        <v>#VALUE!</v>
      </c>
      <c r="BH116" s="179" t="e">
        <f t="shared" si="67"/>
        <v>#VALUE!</v>
      </c>
    </row>
    <row r="117" spans="2:68" s="108" customFormat="1" x14ac:dyDescent="0.25">
      <c r="B117" s="107"/>
      <c r="E117" s="109" t="s">
        <v>0</v>
      </c>
      <c r="F117" s="110" t="s">
        <v>60</v>
      </c>
      <c r="G117" s="111" t="s">
        <v>131</v>
      </c>
      <c r="H117" s="112">
        <v>40525</v>
      </c>
      <c r="I117" s="112">
        <v>37701</v>
      </c>
      <c r="J117" s="112">
        <v>37106</v>
      </c>
      <c r="K117" s="112">
        <v>36245</v>
      </c>
      <c r="L117" s="112">
        <v>34603</v>
      </c>
      <c r="M117" s="112">
        <v>35568</v>
      </c>
      <c r="N117" s="112">
        <v>35252</v>
      </c>
      <c r="O117" s="112">
        <v>36971</v>
      </c>
      <c r="P117" s="112">
        <v>35767</v>
      </c>
      <c r="R117" s="111" t="s">
        <v>131</v>
      </c>
      <c r="S117" s="220">
        <v>6.6</v>
      </c>
      <c r="T117" s="220">
        <v>5.8</v>
      </c>
      <c r="U117" s="220">
        <v>5.5</v>
      </c>
      <c r="V117" s="220">
        <v>4.0999999999999996</v>
      </c>
      <c r="W117" s="220">
        <v>4.4000000000000004</v>
      </c>
      <c r="X117" s="220">
        <v>10.7</v>
      </c>
      <c r="Y117" s="220">
        <v>5.3</v>
      </c>
      <c r="Z117" s="220">
        <v>2.8</v>
      </c>
      <c r="AA117" s="220">
        <v>4.5</v>
      </c>
      <c r="AB117" s="126"/>
      <c r="AC117" s="111" t="s">
        <v>131</v>
      </c>
      <c r="AD117" s="112">
        <f t="shared" si="60"/>
        <v>5349.3</v>
      </c>
      <c r="AE117" s="112">
        <f t="shared" si="48"/>
        <v>4373.3159999999998</v>
      </c>
      <c r="AF117" s="112">
        <f t="shared" si="48"/>
        <v>4081.66</v>
      </c>
      <c r="AG117" s="112">
        <f t="shared" si="48"/>
        <v>2972.09</v>
      </c>
      <c r="AH117" s="112">
        <f t="shared" si="48"/>
        <v>3045.0640000000003</v>
      </c>
      <c r="AI117" s="112">
        <f t="shared" si="48"/>
        <v>7611.5519999999997</v>
      </c>
      <c r="AJ117" s="112">
        <f t="shared" si="48"/>
        <v>3736.712</v>
      </c>
      <c r="AK117" s="112">
        <f t="shared" si="52"/>
        <v>2070.3759999999997</v>
      </c>
      <c r="AL117" s="112">
        <f t="shared" si="52"/>
        <v>3219.03</v>
      </c>
      <c r="AN117" s="111" t="s">
        <v>131</v>
      </c>
      <c r="AO117" s="113">
        <f t="shared" ref="AO117:AW117" si="69">H117/H113</f>
        <v>0.65966174531603539</v>
      </c>
      <c r="AP117" s="113">
        <f t="shared" si="69"/>
        <v>0.65070159995857713</v>
      </c>
      <c r="AQ117" s="113">
        <f t="shared" si="69"/>
        <v>0.69677395125248809</v>
      </c>
      <c r="AR117" s="113">
        <f t="shared" si="69"/>
        <v>0.7354910714285714</v>
      </c>
      <c r="AS117" s="113">
        <f t="shared" si="69"/>
        <v>0.72511053833741956</v>
      </c>
      <c r="AT117" s="113">
        <f t="shared" si="69"/>
        <v>0.78718130311614731</v>
      </c>
      <c r="AU117" s="113">
        <f t="shared" si="69"/>
        <v>0.80931172230129944</v>
      </c>
      <c r="AV117" s="113">
        <f t="shared" si="69"/>
        <v>0.84126333993219105</v>
      </c>
      <c r="AW117" s="113">
        <f t="shared" si="69"/>
        <v>0.88736447763415782</v>
      </c>
      <c r="AY117" s="111" t="s">
        <v>131</v>
      </c>
      <c r="AZ117" s="179">
        <f t="shared" si="50"/>
        <v>8.7075350381716668E-2</v>
      </c>
      <c r="BA117" s="179">
        <f t="shared" si="62"/>
        <v>7.5481385595194947E-2</v>
      </c>
      <c r="BB117" s="179">
        <f t="shared" si="63"/>
        <v>7.6645134637773685E-2</v>
      </c>
      <c r="BC117" s="179">
        <f t="shared" si="64"/>
        <v>6.0310267857142844E-2</v>
      </c>
      <c r="BD117" s="179">
        <f t="shared" si="65"/>
        <v>6.380972737369292E-2</v>
      </c>
      <c r="BE117" s="179">
        <f t="shared" si="66"/>
        <v>0.16845679886685552</v>
      </c>
      <c r="BF117" s="179">
        <f t="shared" si="67"/>
        <v>8.5787042563937738E-2</v>
      </c>
      <c r="BG117" s="179">
        <f t="shared" si="67"/>
        <v>4.7110747036202695E-2</v>
      </c>
      <c r="BH117" s="179">
        <f t="shared" si="67"/>
        <v>7.9862802987074211E-2</v>
      </c>
    </row>
    <row r="118" spans="2:68" s="87" customFormat="1" x14ac:dyDescent="0.25">
      <c r="B118" s="84"/>
      <c r="C118" s="85"/>
      <c r="D118" s="85"/>
      <c r="E118" s="109" t="s">
        <v>1</v>
      </c>
      <c r="F118" s="110" t="s">
        <v>60</v>
      </c>
      <c r="G118" s="195" t="s">
        <v>7</v>
      </c>
      <c r="H118" s="69">
        <v>74730</v>
      </c>
      <c r="I118" s="69">
        <v>71170</v>
      </c>
      <c r="J118" s="69">
        <v>65975</v>
      </c>
      <c r="K118" s="69">
        <v>61171</v>
      </c>
      <c r="L118" s="69">
        <v>60694</v>
      </c>
      <c r="M118" s="69">
        <v>60148</v>
      </c>
      <c r="N118" s="69">
        <v>60012</v>
      </c>
      <c r="O118" s="69">
        <v>54524</v>
      </c>
      <c r="P118" s="69">
        <v>58878</v>
      </c>
      <c r="R118" s="195" t="s">
        <v>7</v>
      </c>
      <c r="S118" s="226">
        <v>1.7</v>
      </c>
      <c r="T118" s="226">
        <v>1.8</v>
      </c>
      <c r="U118" s="226">
        <v>1.8</v>
      </c>
      <c r="V118" s="226">
        <v>1.8</v>
      </c>
      <c r="W118" s="226">
        <v>1.9</v>
      </c>
      <c r="X118" s="226">
        <v>2.1</v>
      </c>
      <c r="Y118" s="226">
        <v>2</v>
      </c>
      <c r="Z118" s="226">
        <v>2.2999999999999998</v>
      </c>
      <c r="AA118" s="226">
        <v>2.2000000000000002</v>
      </c>
      <c r="AB118" s="125"/>
      <c r="AC118" s="195" t="s">
        <v>7</v>
      </c>
      <c r="AD118" s="69">
        <f t="shared" si="60"/>
        <v>2540.8200000000002</v>
      </c>
      <c r="AE118" s="69">
        <f t="shared" si="48"/>
        <v>2562.12</v>
      </c>
      <c r="AF118" s="69">
        <f t="shared" si="48"/>
        <v>2375.1</v>
      </c>
      <c r="AG118" s="69">
        <f t="shared" si="48"/>
        <v>2202.1559999999999</v>
      </c>
      <c r="AH118" s="69">
        <f t="shared" si="48"/>
        <v>2306.3719999999998</v>
      </c>
      <c r="AI118" s="69">
        <f t="shared" si="48"/>
        <v>2526.2159999999999</v>
      </c>
      <c r="AJ118" s="69">
        <f t="shared" si="48"/>
        <v>2400.48</v>
      </c>
      <c r="AK118" s="69">
        <f t="shared" si="52"/>
        <v>2508.1039999999998</v>
      </c>
      <c r="AL118" s="69">
        <f t="shared" si="52"/>
        <v>2590.6320000000001</v>
      </c>
      <c r="AN118" s="195" t="s">
        <v>7</v>
      </c>
      <c r="AO118" s="98">
        <f t="shared" ref="AO118:AW118" si="70">H118/H118</f>
        <v>1</v>
      </c>
      <c r="AP118" s="98">
        <f t="shared" si="70"/>
        <v>1</v>
      </c>
      <c r="AQ118" s="98">
        <f t="shared" si="70"/>
        <v>1</v>
      </c>
      <c r="AR118" s="98">
        <f t="shared" si="70"/>
        <v>1</v>
      </c>
      <c r="AS118" s="98">
        <f t="shared" si="70"/>
        <v>1</v>
      </c>
      <c r="AT118" s="98">
        <f t="shared" si="70"/>
        <v>1</v>
      </c>
      <c r="AU118" s="98">
        <f t="shared" si="70"/>
        <v>1</v>
      </c>
      <c r="AV118" s="98">
        <f t="shared" si="70"/>
        <v>1</v>
      </c>
      <c r="AW118" s="98">
        <f t="shared" si="70"/>
        <v>1</v>
      </c>
      <c r="AX118" s="191"/>
      <c r="AY118" s="195" t="s">
        <v>7</v>
      </c>
      <c r="AZ118" s="178">
        <f t="shared" si="50"/>
        <v>3.4000000000000002E-2</v>
      </c>
      <c r="BA118" s="178">
        <f t="shared" si="62"/>
        <v>3.6000000000000004E-2</v>
      </c>
      <c r="BB118" s="178">
        <f t="shared" si="63"/>
        <v>3.6000000000000004E-2</v>
      </c>
      <c r="BC118" s="178">
        <f t="shared" si="64"/>
        <v>3.6000000000000004E-2</v>
      </c>
      <c r="BD118" s="178">
        <f t="shared" si="65"/>
        <v>3.7999999999999999E-2</v>
      </c>
      <c r="BE118" s="178">
        <f t="shared" si="66"/>
        <v>4.2000000000000003E-2</v>
      </c>
      <c r="BF118" s="178">
        <f t="shared" si="67"/>
        <v>0.04</v>
      </c>
      <c r="BG118" s="178">
        <f t="shared" si="67"/>
        <v>4.5999999999999999E-2</v>
      </c>
      <c r="BH118" s="178">
        <f t="shared" si="67"/>
        <v>4.4000000000000004E-2</v>
      </c>
      <c r="BI118" s="191"/>
      <c r="BJ118" s="191"/>
      <c r="BK118" s="191"/>
      <c r="BL118" s="191"/>
      <c r="BM118" s="191"/>
      <c r="BN118" s="191"/>
      <c r="BO118" s="191"/>
      <c r="BP118" s="191"/>
    </row>
    <row r="119" spans="2:68" s="108" customFormat="1" x14ac:dyDescent="0.25">
      <c r="B119" s="107"/>
      <c r="E119" s="109" t="s">
        <v>1</v>
      </c>
      <c r="F119" s="110" t="s">
        <v>60</v>
      </c>
      <c r="G119" s="111" t="s">
        <v>54</v>
      </c>
      <c r="H119" s="112">
        <v>29784</v>
      </c>
      <c r="I119" s="112">
        <v>24455</v>
      </c>
      <c r="J119" s="112">
        <v>21987</v>
      </c>
      <c r="K119" s="112">
        <v>19644</v>
      </c>
      <c r="L119" s="112">
        <v>19498</v>
      </c>
      <c r="M119" s="112">
        <v>19072</v>
      </c>
      <c r="N119" s="112">
        <v>15275</v>
      </c>
      <c r="O119" s="112">
        <v>13936</v>
      </c>
      <c r="P119" s="112">
        <v>14336</v>
      </c>
      <c r="R119" s="111" t="s">
        <v>54</v>
      </c>
      <c r="S119" s="220">
        <v>6.8</v>
      </c>
      <c r="T119" s="220">
        <v>8.6999999999999993</v>
      </c>
      <c r="U119" s="220">
        <v>8.4</v>
      </c>
      <c r="V119" s="220">
        <v>8.1999999999999993</v>
      </c>
      <c r="W119" s="220">
        <v>8.9</v>
      </c>
      <c r="X119" s="220">
        <v>9.9</v>
      </c>
      <c r="Y119" s="220">
        <v>10.5</v>
      </c>
      <c r="Z119" s="220">
        <v>12.6</v>
      </c>
      <c r="AA119" s="220">
        <v>12.4</v>
      </c>
      <c r="AB119" s="126"/>
      <c r="AC119" s="111" t="s">
        <v>54</v>
      </c>
      <c r="AD119" s="112">
        <f t="shared" si="60"/>
        <v>4050.6239999999998</v>
      </c>
      <c r="AE119" s="112">
        <f t="shared" si="48"/>
        <v>4255.1699999999992</v>
      </c>
      <c r="AF119" s="112">
        <f t="shared" si="48"/>
        <v>3693.8160000000003</v>
      </c>
      <c r="AG119" s="112">
        <f t="shared" si="48"/>
        <v>3221.616</v>
      </c>
      <c r="AH119" s="112">
        <f t="shared" si="48"/>
        <v>3470.6440000000002</v>
      </c>
      <c r="AI119" s="112">
        <f t="shared" si="48"/>
        <v>3776.2560000000003</v>
      </c>
      <c r="AJ119" s="112">
        <f t="shared" si="48"/>
        <v>3207.75</v>
      </c>
      <c r="AK119" s="112">
        <f t="shared" si="52"/>
        <v>3511.8720000000003</v>
      </c>
      <c r="AL119" s="112">
        <f t="shared" si="52"/>
        <v>3555.328</v>
      </c>
      <c r="AN119" s="111" t="s">
        <v>54</v>
      </c>
      <c r="AO119" s="113">
        <f t="shared" ref="AO119:AW119" si="71">H119/H118</f>
        <v>0.39855479727017262</v>
      </c>
      <c r="AP119" s="113">
        <f t="shared" si="71"/>
        <v>0.34361388225375861</v>
      </c>
      <c r="AQ119" s="113">
        <f t="shared" si="71"/>
        <v>0.33326259946949605</v>
      </c>
      <c r="AR119" s="113">
        <f t="shared" si="71"/>
        <v>0.32113256281571334</v>
      </c>
      <c r="AS119" s="113">
        <f t="shared" si="71"/>
        <v>0.32125086499489242</v>
      </c>
      <c r="AT119" s="113">
        <f t="shared" si="71"/>
        <v>0.31708452483873112</v>
      </c>
      <c r="AU119" s="113">
        <f t="shared" si="71"/>
        <v>0.25453242684796373</v>
      </c>
      <c r="AV119" s="113">
        <f t="shared" si="71"/>
        <v>0.2555938669209889</v>
      </c>
      <c r="AW119" s="113">
        <f t="shared" si="71"/>
        <v>0.24348653147185706</v>
      </c>
      <c r="AY119" s="111" t="s">
        <v>54</v>
      </c>
      <c r="AZ119" s="179">
        <f t="shared" si="50"/>
        <v>5.4203452428743477E-2</v>
      </c>
      <c r="BA119" s="179">
        <f t="shared" si="62"/>
        <v>5.9788815512153988E-2</v>
      </c>
      <c r="BB119" s="179">
        <f t="shared" si="63"/>
        <v>5.5988116710875335E-2</v>
      </c>
      <c r="BC119" s="179">
        <f t="shared" si="64"/>
        <v>5.2665740301776981E-2</v>
      </c>
      <c r="BD119" s="179">
        <f t="shared" si="65"/>
        <v>5.7182653969090849E-2</v>
      </c>
      <c r="BE119" s="179">
        <f t="shared" si="66"/>
        <v>6.2782735918068766E-2</v>
      </c>
      <c r="BF119" s="179">
        <f t="shared" si="67"/>
        <v>5.3451809638072383E-2</v>
      </c>
      <c r="BG119" s="179">
        <f t="shared" si="67"/>
        <v>6.4409654464089194E-2</v>
      </c>
      <c r="BH119" s="179">
        <f t="shared" si="67"/>
        <v>6.038465980502055E-2</v>
      </c>
    </row>
    <row r="120" spans="2:68" s="108" customFormat="1" x14ac:dyDescent="0.25">
      <c r="B120" s="107"/>
      <c r="E120" s="109" t="s">
        <v>1</v>
      </c>
      <c r="F120" s="110" t="s">
        <v>60</v>
      </c>
      <c r="G120" s="111" t="s">
        <v>55</v>
      </c>
      <c r="H120" s="70">
        <v>9561</v>
      </c>
      <c r="I120" s="70">
        <v>13431</v>
      </c>
      <c r="J120" s="70">
        <v>12265</v>
      </c>
      <c r="K120" s="70">
        <v>9243</v>
      </c>
      <c r="L120" s="70">
        <v>8013</v>
      </c>
      <c r="M120" s="70">
        <v>12721</v>
      </c>
      <c r="N120" s="70">
        <v>7199</v>
      </c>
      <c r="O120" s="112">
        <v>6641</v>
      </c>
      <c r="P120" s="112">
        <v>7502</v>
      </c>
      <c r="R120" s="111" t="s">
        <v>55</v>
      </c>
      <c r="S120" s="81">
        <v>13.9</v>
      </c>
      <c r="T120" s="81">
        <v>12.5</v>
      </c>
      <c r="U120" s="81">
        <v>12.3</v>
      </c>
      <c r="V120" s="81">
        <v>13.6</v>
      </c>
      <c r="W120" s="81">
        <v>18</v>
      </c>
      <c r="X120" s="81">
        <v>13.3</v>
      </c>
      <c r="Y120" s="81">
        <v>17.399999999999999</v>
      </c>
      <c r="Z120" s="81">
        <v>22.3</v>
      </c>
      <c r="AA120" s="81">
        <v>17.5</v>
      </c>
      <c r="AB120" s="126"/>
      <c r="AC120" s="111" t="s">
        <v>55</v>
      </c>
      <c r="AD120" s="70">
        <f t="shared" si="60"/>
        <v>2657.9580000000001</v>
      </c>
      <c r="AE120" s="70">
        <f t="shared" si="48"/>
        <v>3357.75</v>
      </c>
      <c r="AF120" s="70">
        <f t="shared" si="48"/>
        <v>3017.19</v>
      </c>
      <c r="AG120" s="70">
        <f t="shared" si="48"/>
        <v>2514.096</v>
      </c>
      <c r="AH120" s="70">
        <f t="shared" si="48"/>
        <v>2884.68</v>
      </c>
      <c r="AI120" s="70">
        <f t="shared" si="48"/>
        <v>3383.7860000000005</v>
      </c>
      <c r="AJ120" s="70">
        <f t="shared" si="48"/>
        <v>2505.252</v>
      </c>
      <c r="AK120" s="70">
        <f t="shared" si="52"/>
        <v>2961.8860000000004</v>
      </c>
      <c r="AL120" s="70">
        <f t="shared" si="52"/>
        <v>2625.7</v>
      </c>
      <c r="AN120" s="111" t="s">
        <v>55</v>
      </c>
      <c r="AO120" s="113">
        <f t="shared" ref="AO120:AW120" si="72">H120/H118</f>
        <v>0.12794058610999598</v>
      </c>
      <c r="AP120" s="113">
        <f t="shared" si="72"/>
        <v>0.18871715610510045</v>
      </c>
      <c r="AQ120" s="113">
        <f t="shared" si="72"/>
        <v>0.1859037514209928</v>
      </c>
      <c r="AR120" s="113">
        <f t="shared" si="72"/>
        <v>0.15110101191741185</v>
      </c>
      <c r="AS120" s="113">
        <f t="shared" si="72"/>
        <v>0.13202293472171878</v>
      </c>
      <c r="AT120" s="113">
        <f t="shared" si="72"/>
        <v>0.21149497905167255</v>
      </c>
      <c r="AU120" s="113">
        <f t="shared" si="72"/>
        <v>0.11995934146504032</v>
      </c>
      <c r="AV120" s="113">
        <f t="shared" si="72"/>
        <v>0.12179957449930306</v>
      </c>
      <c r="AW120" s="113">
        <f t="shared" si="72"/>
        <v>0.12741601277217296</v>
      </c>
      <c r="AY120" s="111" t="s">
        <v>55</v>
      </c>
      <c r="AZ120" s="179">
        <f t="shared" si="50"/>
        <v>3.5567482938578886E-2</v>
      </c>
      <c r="BA120" s="179">
        <f t="shared" ref="BA120:BA152" si="73">2*(T120*AP120/100)</f>
        <v>4.7179289026275113E-2</v>
      </c>
      <c r="BB120" s="179">
        <f t="shared" ref="BB120:BB152" si="74">2*(U120*AQ120/100)</f>
        <v>4.573232284956423E-2</v>
      </c>
      <c r="BC120" s="179">
        <f t="shared" ref="BC120:BC152" si="75">2*(V120*AR120/100)</f>
        <v>4.1099475241536024E-2</v>
      </c>
      <c r="BD120" s="179">
        <f t="shared" ref="BD120:BD152" si="76">2*(W120*AS120/100)</f>
        <v>4.7528256499818761E-2</v>
      </c>
      <c r="BE120" s="179">
        <f t="shared" ref="BE120:BE152" si="77">2*(X120*AT120/100)</f>
        <v>5.6257664427744908E-2</v>
      </c>
      <c r="BF120" s="179">
        <f t="shared" ref="BF120:BH152" si="78">2*(Y120*AU120/100)</f>
        <v>4.1745850829834029E-2</v>
      </c>
      <c r="BG120" s="179">
        <f t="shared" si="78"/>
        <v>5.4322610226689168E-2</v>
      </c>
      <c r="BH120" s="179">
        <f t="shared" si="78"/>
        <v>4.4595604470260536E-2</v>
      </c>
    </row>
    <row r="121" spans="2:68" s="108" customFormat="1" x14ac:dyDescent="0.25">
      <c r="B121" s="107"/>
      <c r="E121" s="109" t="s">
        <v>1</v>
      </c>
      <c r="F121" s="110" t="s">
        <v>60</v>
      </c>
      <c r="G121" s="111" t="s">
        <v>130</v>
      </c>
      <c r="H121" s="70">
        <v>11739</v>
      </c>
      <c r="I121" s="70">
        <v>10196</v>
      </c>
      <c r="J121" s="70">
        <v>11494</v>
      </c>
      <c r="K121" s="70">
        <v>9997</v>
      </c>
      <c r="L121" s="70">
        <v>10557</v>
      </c>
      <c r="M121" s="70">
        <v>7190</v>
      </c>
      <c r="N121" s="70">
        <v>8202</v>
      </c>
      <c r="O121" s="112">
        <v>8528</v>
      </c>
      <c r="P121" s="112">
        <v>7646</v>
      </c>
      <c r="R121" s="111" t="s">
        <v>130</v>
      </c>
      <c r="S121" s="220">
        <v>12.3</v>
      </c>
      <c r="T121" s="220">
        <v>14.7</v>
      </c>
      <c r="U121" s="220">
        <v>13.9</v>
      </c>
      <c r="V121" s="220">
        <v>13.6</v>
      </c>
      <c r="W121" s="220">
        <v>15.6</v>
      </c>
      <c r="X121" s="220">
        <v>18.5</v>
      </c>
      <c r="Y121" s="220">
        <v>16.3</v>
      </c>
      <c r="Z121" s="220">
        <v>18.8</v>
      </c>
      <c r="AA121" s="220">
        <v>17.5</v>
      </c>
      <c r="AB121" s="126"/>
      <c r="AC121" s="111" t="s">
        <v>130</v>
      </c>
      <c r="AD121" s="70">
        <f t="shared" si="60"/>
        <v>2887.7940000000003</v>
      </c>
      <c r="AE121" s="70">
        <f t="shared" si="48"/>
        <v>2997.6239999999998</v>
      </c>
      <c r="AF121" s="70">
        <f t="shared" si="48"/>
        <v>3195.3320000000003</v>
      </c>
      <c r="AG121" s="70">
        <f t="shared" si="48"/>
        <v>2719.1839999999997</v>
      </c>
      <c r="AH121" s="70">
        <f t="shared" si="48"/>
        <v>3293.7839999999997</v>
      </c>
      <c r="AI121" s="70">
        <f t="shared" si="48"/>
        <v>2660.3</v>
      </c>
      <c r="AJ121" s="70">
        <f t="shared" si="48"/>
        <v>2673.8520000000003</v>
      </c>
      <c r="AK121" s="70">
        <f t="shared" si="52"/>
        <v>3206.5279999999998</v>
      </c>
      <c r="AL121" s="70">
        <f t="shared" si="52"/>
        <v>2676.1</v>
      </c>
      <c r="AN121" s="111" t="s">
        <v>130</v>
      </c>
      <c r="AO121" s="113">
        <f t="shared" ref="AO121:AW121" si="79">H121/H118</f>
        <v>0.15708550782818145</v>
      </c>
      <c r="AP121" s="113">
        <f t="shared" si="79"/>
        <v>0.14326261065055501</v>
      </c>
      <c r="AQ121" s="113">
        <f t="shared" si="79"/>
        <v>0.17421750663129973</v>
      </c>
      <c r="AR121" s="113">
        <f t="shared" si="79"/>
        <v>0.16342711415540043</v>
      </c>
      <c r="AS121" s="113">
        <f t="shared" si="79"/>
        <v>0.17393811579398294</v>
      </c>
      <c r="AT121" s="113">
        <f t="shared" si="79"/>
        <v>0.1195384717696349</v>
      </c>
      <c r="AU121" s="113">
        <f t="shared" si="79"/>
        <v>0.13667266546690662</v>
      </c>
      <c r="AV121" s="113">
        <f t="shared" si="79"/>
        <v>0.15640818722030667</v>
      </c>
      <c r="AW121" s="113">
        <f t="shared" si="79"/>
        <v>0.12986174802133224</v>
      </c>
      <c r="AY121" s="111" t="s">
        <v>130</v>
      </c>
      <c r="AZ121" s="179">
        <f t="shared" si="50"/>
        <v>3.8643034925732643E-2</v>
      </c>
      <c r="BA121" s="179">
        <f t="shared" si="73"/>
        <v>4.2119207531263171E-2</v>
      </c>
      <c r="BB121" s="179">
        <f t="shared" si="74"/>
        <v>4.8432466843501325E-2</v>
      </c>
      <c r="BC121" s="179">
        <f t="shared" si="75"/>
        <v>4.4452175050268918E-2</v>
      </c>
      <c r="BD121" s="179">
        <f t="shared" si="76"/>
        <v>5.4268692127722673E-2</v>
      </c>
      <c r="BE121" s="179">
        <f t="shared" si="77"/>
        <v>4.4229234554764914E-2</v>
      </c>
      <c r="BF121" s="179">
        <f t="shared" si="78"/>
        <v>4.4555288942211557E-2</v>
      </c>
      <c r="BG121" s="179">
        <f t="shared" si="78"/>
        <v>5.8809478394835309E-2</v>
      </c>
      <c r="BH121" s="179">
        <f t="shared" si="78"/>
        <v>4.5451611807466284E-2</v>
      </c>
    </row>
    <row r="122" spans="2:68" s="108" customFormat="1" x14ac:dyDescent="0.25">
      <c r="B122" s="107"/>
      <c r="E122" s="109" t="s">
        <v>1</v>
      </c>
      <c r="F122" s="110" t="s">
        <v>60</v>
      </c>
      <c r="G122" s="111" t="s">
        <v>131</v>
      </c>
      <c r="H122" s="112">
        <v>23646</v>
      </c>
      <c r="I122" s="112">
        <v>23088</v>
      </c>
      <c r="J122" s="112">
        <v>20229</v>
      </c>
      <c r="K122" s="112">
        <v>22287</v>
      </c>
      <c r="L122" s="112">
        <v>22626</v>
      </c>
      <c r="M122" s="112">
        <v>21164</v>
      </c>
      <c r="N122" s="112">
        <v>29336</v>
      </c>
      <c r="O122" s="112">
        <v>25419</v>
      </c>
      <c r="P122" s="112">
        <v>29394</v>
      </c>
      <c r="R122" s="111" t="s">
        <v>131</v>
      </c>
      <c r="S122" s="220">
        <v>7.9</v>
      </c>
      <c r="T122" s="220">
        <v>8.5</v>
      </c>
      <c r="U122" s="220">
        <v>8.6999999999999993</v>
      </c>
      <c r="V122" s="220">
        <v>7.6</v>
      </c>
      <c r="W122" s="220">
        <v>8.5</v>
      </c>
      <c r="X122" s="220">
        <v>9.1</v>
      </c>
      <c r="Y122" s="220">
        <v>7.5</v>
      </c>
      <c r="Z122" s="220">
        <v>8.1</v>
      </c>
      <c r="AA122" s="220">
        <v>6.7</v>
      </c>
      <c r="AB122" s="126"/>
      <c r="AC122" s="111" t="s">
        <v>131</v>
      </c>
      <c r="AD122" s="112">
        <f t="shared" si="60"/>
        <v>3736.0679999999998</v>
      </c>
      <c r="AE122" s="112">
        <f t="shared" si="48"/>
        <v>3924.96</v>
      </c>
      <c r="AF122" s="112">
        <f t="shared" si="48"/>
        <v>3519.8459999999995</v>
      </c>
      <c r="AG122" s="112">
        <f t="shared" si="48"/>
        <v>3387.6239999999998</v>
      </c>
      <c r="AH122" s="112">
        <f t="shared" si="48"/>
        <v>3846.42</v>
      </c>
      <c r="AI122" s="112">
        <f t="shared" si="48"/>
        <v>3851.848</v>
      </c>
      <c r="AJ122" s="112">
        <f t="shared" si="48"/>
        <v>4400.3999999999996</v>
      </c>
      <c r="AK122" s="112">
        <f t="shared" si="52"/>
        <v>4117.8779999999997</v>
      </c>
      <c r="AL122" s="112">
        <f t="shared" si="52"/>
        <v>3938.7960000000003</v>
      </c>
      <c r="AN122" s="111" t="s">
        <v>131</v>
      </c>
      <c r="AO122" s="113">
        <f t="shared" ref="AO122:AW122" si="80">H122/H118</f>
        <v>0.31641910879164992</v>
      </c>
      <c r="AP122" s="113">
        <f t="shared" si="80"/>
        <v>0.3244063509905859</v>
      </c>
      <c r="AQ122" s="113">
        <f t="shared" si="80"/>
        <v>0.30661614247821145</v>
      </c>
      <c r="AR122" s="113">
        <f t="shared" si="80"/>
        <v>0.36433931111147438</v>
      </c>
      <c r="AS122" s="113">
        <f t="shared" si="80"/>
        <v>0.37278808448940587</v>
      </c>
      <c r="AT122" s="113">
        <f t="shared" si="80"/>
        <v>0.35186539868324801</v>
      </c>
      <c r="AU122" s="113">
        <f t="shared" si="80"/>
        <v>0.48883556622008933</v>
      </c>
      <c r="AV122" s="113">
        <f t="shared" si="80"/>
        <v>0.46619837135940134</v>
      </c>
      <c r="AW122" s="113">
        <f t="shared" si="80"/>
        <v>0.49923570773463771</v>
      </c>
      <c r="AY122" s="111" t="s">
        <v>131</v>
      </c>
      <c r="AZ122" s="179">
        <f t="shared" si="50"/>
        <v>4.9994219189080688E-2</v>
      </c>
      <c r="BA122" s="179">
        <f t="shared" si="73"/>
        <v>5.5149079668399603E-2</v>
      </c>
      <c r="BB122" s="179">
        <f t="shared" si="74"/>
        <v>5.335120879120879E-2</v>
      </c>
      <c r="BC122" s="179">
        <f t="shared" si="75"/>
        <v>5.5379575288944105E-2</v>
      </c>
      <c r="BD122" s="179">
        <f t="shared" si="76"/>
        <v>6.3373974363198998E-2</v>
      </c>
      <c r="BE122" s="179">
        <f t="shared" si="77"/>
        <v>6.4039502560351125E-2</v>
      </c>
      <c r="BF122" s="179">
        <f t="shared" si="78"/>
        <v>7.3325334933013395E-2</v>
      </c>
      <c r="BG122" s="179">
        <f t="shared" si="78"/>
        <v>7.5524136160223007E-2</v>
      </c>
      <c r="BH122" s="179">
        <f t="shared" si="78"/>
        <v>6.6897584836441454E-2</v>
      </c>
    </row>
    <row r="123" spans="2:68" s="87" customFormat="1" x14ac:dyDescent="0.25">
      <c r="B123" s="84"/>
      <c r="C123" s="85"/>
      <c r="D123" s="85"/>
      <c r="E123" s="109" t="s">
        <v>2</v>
      </c>
      <c r="F123" s="110" t="s">
        <v>60</v>
      </c>
      <c r="G123" s="195" t="s">
        <v>7</v>
      </c>
      <c r="H123" s="69">
        <v>127529</v>
      </c>
      <c r="I123" s="69">
        <v>122607</v>
      </c>
      <c r="J123" s="69">
        <v>114585</v>
      </c>
      <c r="K123" s="69">
        <v>106455</v>
      </c>
      <c r="L123" s="69">
        <v>102308</v>
      </c>
      <c r="M123" s="69">
        <v>96535</v>
      </c>
      <c r="N123" s="69">
        <v>96805</v>
      </c>
      <c r="O123" s="69">
        <v>98995</v>
      </c>
      <c r="P123" s="69">
        <v>98283</v>
      </c>
      <c r="R123" s="195" t="s">
        <v>7</v>
      </c>
      <c r="S123" s="226">
        <v>1.2</v>
      </c>
      <c r="T123" s="226">
        <v>1.5</v>
      </c>
      <c r="U123" s="226">
        <v>1.5</v>
      </c>
      <c r="V123" s="226">
        <v>1.4</v>
      </c>
      <c r="W123" s="226">
        <v>1.5</v>
      </c>
      <c r="X123" s="226">
        <v>1.7</v>
      </c>
      <c r="Y123" s="226">
        <v>1.6</v>
      </c>
      <c r="Z123" s="226">
        <v>1.7</v>
      </c>
      <c r="AA123" s="226">
        <v>1.7</v>
      </c>
      <c r="AB123" s="125"/>
      <c r="AC123" s="195" t="s">
        <v>7</v>
      </c>
      <c r="AD123" s="69">
        <f t="shared" si="60"/>
        <v>3060.6959999999999</v>
      </c>
      <c r="AE123" s="69">
        <f t="shared" si="48"/>
        <v>3678.21</v>
      </c>
      <c r="AF123" s="69">
        <f t="shared" si="48"/>
        <v>3437.55</v>
      </c>
      <c r="AG123" s="69">
        <f t="shared" si="48"/>
        <v>2980.74</v>
      </c>
      <c r="AH123" s="69">
        <f t="shared" si="48"/>
        <v>3069.24</v>
      </c>
      <c r="AI123" s="69">
        <f t="shared" si="48"/>
        <v>3282.19</v>
      </c>
      <c r="AJ123" s="69">
        <f t="shared" si="48"/>
        <v>3097.76</v>
      </c>
      <c r="AK123" s="69">
        <f t="shared" si="52"/>
        <v>3365.83</v>
      </c>
      <c r="AL123" s="69">
        <f t="shared" si="52"/>
        <v>3341.6220000000003</v>
      </c>
      <c r="AN123" s="195" t="s">
        <v>7</v>
      </c>
      <c r="AO123" s="98">
        <f t="shared" ref="AO123:AW123" si="81">H123/H123</f>
        <v>1</v>
      </c>
      <c r="AP123" s="98">
        <f t="shared" si="81"/>
        <v>1</v>
      </c>
      <c r="AQ123" s="98">
        <f t="shared" si="81"/>
        <v>1</v>
      </c>
      <c r="AR123" s="98">
        <f t="shared" si="81"/>
        <v>1</v>
      </c>
      <c r="AS123" s="98">
        <f t="shared" si="81"/>
        <v>1</v>
      </c>
      <c r="AT123" s="98">
        <f t="shared" si="81"/>
        <v>1</v>
      </c>
      <c r="AU123" s="98">
        <f t="shared" si="81"/>
        <v>1</v>
      </c>
      <c r="AV123" s="98">
        <f t="shared" si="81"/>
        <v>1</v>
      </c>
      <c r="AW123" s="98">
        <f t="shared" si="81"/>
        <v>1</v>
      </c>
      <c r="AX123" s="191"/>
      <c r="AY123" s="195" t="s">
        <v>7</v>
      </c>
      <c r="AZ123" s="178">
        <f t="shared" si="50"/>
        <v>2.4E-2</v>
      </c>
      <c r="BA123" s="178">
        <f t="shared" si="73"/>
        <v>0.03</v>
      </c>
      <c r="BB123" s="178">
        <f t="shared" si="74"/>
        <v>0.03</v>
      </c>
      <c r="BC123" s="178">
        <f t="shared" si="75"/>
        <v>2.7999999999999997E-2</v>
      </c>
      <c r="BD123" s="178">
        <f t="shared" si="76"/>
        <v>0.03</v>
      </c>
      <c r="BE123" s="178">
        <f t="shared" si="77"/>
        <v>3.4000000000000002E-2</v>
      </c>
      <c r="BF123" s="178">
        <f t="shared" si="78"/>
        <v>3.2000000000000001E-2</v>
      </c>
      <c r="BG123" s="178">
        <f t="shared" si="78"/>
        <v>3.4000000000000002E-2</v>
      </c>
      <c r="BH123" s="178">
        <f t="shared" si="78"/>
        <v>3.4000000000000002E-2</v>
      </c>
      <c r="BI123" s="191"/>
      <c r="BJ123" s="191"/>
      <c r="BK123" s="191"/>
      <c r="BL123" s="191"/>
      <c r="BM123" s="191"/>
      <c r="BN123" s="191"/>
      <c r="BO123" s="191"/>
      <c r="BP123" s="191"/>
    </row>
    <row r="124" spans="2:68" s="108" customFormat="1" x14ac:dyDescent="0.25">
      <c r="B124" s="107"/>
      <c r="E124" s="109" t="s">
        <v>2</v>
      </c>
      <c r="F124" s="110" t="s">
        <v>60</v>
      </c>
      <c r="G124" s="111" t="s">
        <v>54</v>
      </c>
      <c r="H124" s="112">
        <v>49930</v>
      </c>
      <c r="I124" s="112">
        <v>36268</v>
      </c>
      <c r="J124" s="112">
        <v>33757</v>
      </c>
      <c r="K124" s="112">
        <v>34610</v>
      </c>
      <c r="L124" s="112">
        <v>29500</v>
      </c>
      <c r="M124" s="112">
        <v>31667</v>
      </c>
      <c r="N124" s="112">
        <v>25497</v>
      </c>
      <c r="O124" s="112">
        <v>28972</v>
      </c>
      <c r="P124" s="112">
        <v>28982</v>
      </c>
      <c r="R124" s="111" t="s">
        <v>54</v>
      </c>
      <c r="S124" s="220">
        <v>5.2</v>
      </c>
      <c r="T124" s="220">
        <v>7.5</v>
      </c>
      <c r="U124" s="220">
        <v>7.1</v>
      </c>
      <c r="V124" s="220">
        <v>6.7</v>
      </c>
      <c r="W124" s="220">
        <v>9</v>
      </c>
      <c r="X124" s="220">
        <v>7.9</v>
      </c>
      <c r="Y124" s="220">
        <v>7.7</v>
      </c>
      <c r="Z124" s="220">
        <v>9.1</v>
      </c>
      <c r="AA124" s="220">
        <v>8.1999999999999993</v>
      </c>
      <c r="AB124" s="126"/>
      <c r="AC124" s="111" t="s">
        <v>54</v>
      </c>
      <c r="AD124" s="112">
        <f t="shared" si="60"/>
        <v>5192.72</v>
      </c>
      <c r="AE124" s="112">
        <f t="shared" si="48"/>
        <v>5440.2</v>
      </c>
      <c r="AF124" s="112">
        <f t="shared" si="48"/>
        <v>4793.4939999999997</v>
      </c>
      <c r="AG124" s="112">
        <f t="shared" si="48"/>
        <v>4637.74</v>
      </c>
      <c r="AH124" s="112">
        <f t="shared" si="48"/>
        <v>5310</v>
      </c>
      <c r="AI124" s="112">
        <f t="shared" si="48"/>
        <v>5003.3860000000004</v>
      </c>
      <c r="AJ124" s="112">
        <f t="shared" si="48"/>
        <v>3926.538</v>
      </c>
      <c r="AK124" s="112">
        <f t="shared" si="52"/>
        <v>5272.9040000000005</v>
      </c>
      <c r="AL124" s="112">
        <f t="shared" si="52"/>
        <v>4753.0479999999989</v>
      </c>
      <c r="AN124" s="111" t="s">
        <v>54</v>
      </c>
      <c r="AO124" s="113">
        <f t="shared" ref="AO124:AW124" si="82">H124/H123</f>
        <v>0.39151879180421706</v>
      </c>
      <c r="AP124" s="113">
        <f t="shared" si="82"/>
        <v>0.2958069278263068</v>
      </c>
      <c r="AQ124" s="113">
        <f t="shared" si="82"/>
        <v>0.29460226033075881</v>
      </c>
      <c r="AR124" s="113">
        <f t="shared" si="82"/>
        <v>0.32511389789112771</v>
      </c>
      <c r="AS124" s="113">
        <f t="shared" si="82"/>
        <v>0.28834499745865427</v>
      </c>
      <c r="AT124" s="113">
        <f t="shared" si="82"/>
        <v>0.32803646345884913</v>
      </c>
      <c r="AU124" s="113">
        <f t="shared" si="82"/>
        <v>0.26338515572542742</v>
      </c>
      <c r="AV124" s="113">
        <f t="shared" si="82"/>
        <v>0.29266124551745037</v>
      </c>
      <c r="AW124" s="113">
        <f t="shared" si="82"/>
        <v>0.29488314357518597</v>
      </c>
      <c r="AY124" s="111" t="s">
        <v>54</v>
      </c>
      <c r="AZ124" s="179">
        <f t="shared" si="50"/>
        <v>4.0717954347638578E-2</v>
      </c>
      <c r="BA124" s="179">
        <f t="shared" si="73"/>
        <v>4.4371039173946018E-2</v>
      </c>
      <c r="BB124" s="179">
        <f t="shared" si="74"/>
        <v>4.1833520966967755E-2</v>
      </c>
      <c r="BC124" s="179">
        <f t="shared" si="75"/>
        <v>4.3565262317411112E-2</v>
      </c>
      <c r="BD124" s="179">
        <f t="shared" si="76"/>
        <v>5.190209954255777E-2</v>
      </c>
      <c r="BE124" s="179">
        <f t="shared" si="77"/>
        <v>5.1829761226498162E-2</v>
      </c>
      <c r="BF124" s="179">
        <f t="shared" si="78"/>
        <v>4.0561313981715828E-2</v>
      </c>
      <c r="BG124" s="179">
        <f t="shared" si="78"/>
        <v>5.326434668417597E-2</v>
      </c>
      <c r="BH124" s="179">
        <f t="shared" si="78"/>
        <v>4.8360835546330493E-2</v>
      </c>
    </row>
    <row r="125" spans="2:68" s="108" customFormat="1" x14ac:dyDescent="0.25">
      <c r="B125" s="107"/>
      <c r="E125" s="109" t="s">
        <v>2</v>
      </c>
      <c r="F125" s="110" t="s">
        <v>60</v>
      </c>
      <c r="G125" s="111" t="s">
        <v>55</v>
      </c>
      <c r="H125" s="70">
        <v>32202</v>
      </c>
      <c r="I125" s="70">
        <v>34618</v>
      </c>
      <c r="J125" s="70">
        <v>34862</v>
      </c>
      <c r="K125" s="70">
        <v>29754</v>
      </c>
      <c r="L125" s="70">
        <v>24806</v>
      </c>
      <c r="M125" s="70">
        <v>25043</v>
      </c>
      <c r="N125" s="70">
        <v>27268</v>
      </c>
      <c r="O125" s="112">
        <v>21289</v>
      </c>
      <c r="P125" s="112">
        <v>23142</v>
      </c>
      <c r="R125" s="111" t="s">
        <v>55</v>
      </c>
      <c r="S125" s="81">
        <v>7</v>
      </c>
      <c r="T125" s="81">
        <v>7.7</v>
      </c>
      <c r="U125" s="81">
        <v>7.1</v>
      </c>
      <c r="V125" s="81">
        <v>7.6</v>
      </c>
      <c r="W125" s="81">
        <v>9.8000000000000007</v>
      </c>
      <c r="X125" s="81">
        <v>8.9</v>
      </c>
      <c r="Y125" s="81">
        <v>8.4</v>
      </c>
      <c r="Z125" s="81">
        <v>10.5</v>
      </c>
      <c r="AA125" s="81">
        <v>9.5</v>
      </c>
      <c r="AB125" s="126"/>
      <c r="AC125" s="111" t="s">
        <v>55</v>
      </c>
      <c r="AD125" s="70">
        <f t="shared" si="60"/>
        <v>4508.28</v>
      </c>
      <c r="AE125" s="70">
        <f t="shared" si="48"/>
        <v>5331.1720000000005</v>
      </c>
      <c r="AF125" s="70">
        <f t="shared" si="48"/>
        <v>4950.4039999999995</v>
      </c>
      <c r="AG125" s="70">
        <f t="shared" si="48"/>
        <v>4522.6080000000002</v>
      </c>
      <c r="AH125" s="70">
        <f t="shared" si="48"/>
        <v>4861.9760000000006</v>
      </c>
      <c r="AI125" s="70">
        <f t="shared" si="48"/>
        <v>4457.6540000000005</v>
      </c>
      <c r="AJ125" s="70">
        <f t="shared" si="48"/>
        <v>4581.0240000000003</v>
      </c>
      <c r="AK125" s="70">
        <f t="shared" si="52"/>
        <v>4470.6899999999996</v>
      </c>
      <c r="AL125" s="70">
        <f t="shared" si="52"/>
        <v>4396.9799999999996</v>
      </c>
      <c r="AN125" s="111" t="s">
        <v>55</v>
      </c>
      <c r="AO125" s="113">
        <f t="shared" ref="AO125:AW125" si="83">H125/H123</f>
        <v>0.25250727285558577</v>
      </c>
      <c r="AP125" s="113">
        <f t="shared" si="83"/>
        <v>0.28234929490159616</v>
      </c>
      <c r="AQ125" s="113">
        <f t="shared" si="83"/>
        <v>0.30424575642536106</v>
      </c>
      <c r="AR125" s="113">
        <f t="shared" si="83"/>
        <v>0.27949837959701285</v>
      </c>
      <c r="AS125" s="113">
        <f t="shared" si="83"/>
        <v>0.24246393243930092</v>
      </c>
      <c r="AT125" s="113">
        <f t="shared" si="83"/>
        <v>0.2594188636245921</v>
      </c>
      <c r="AU125" s="113">
        <f t="shared" si="83"/>
        <v>0.28167966530654409</v>
      </c>
      <c r="AV125" s="113">
        <f t="shared" si="83"/>
        <v>0.21505126521541493</v>
      </c>
      <c r="AW125" s="113">
        <f t="shared" si="83"/>
        <v>0.23546289795793779</v>
      </c>
      <c r="AY125" s="111" t="s">
        <v>55</v>
      </c>
      <c r="AZ125" s="179">
        <f t="shared" si="50"/>
        <v>3.5351018199782008E-2</v>
      </c>
      <c r="BA125" s="179">
        <f t="shared" si="73"/>
        <v>4.3481791414845816E-2</v>
      </c>
      <c r="BB125" s="179">
        <f t="shared" si="74"/>
        <v>4.320289741240127E-2</v>
      </c>
      <c r="BC125" s="179">
        <f t="shared" si="75"/>
        <v>4.2483753698745949E-2</v>
      </c>
      <c r="BD125" s="179">
        <f t="shared" si="76"/>
        <v>4.7522930758102981E-2</v>
      </c>
      <c r="BE125" s="179">
        <f t="shared" si="77"/>
        <v>4.6176557725177397E-2</v>
      </c>
      <c r="BF125" s="179">
        <f t="shared" si="78"/>
        <v>4.732218377149941E-2</v>
      </c>
      <c r="BG125" s="179">
        <f t="shared" si="78"/>
        <v>4.5160765695237137E-2</v>
      </c>
      <c r="BH125" s="179">
        <f t="shared" si="78"/>
        <v>4.4737950612008179E-2</v>
      </c>
    </row>
    <row r="126" spans="2:68" s="108" customFormat="1" x14ac:dyDescent="0.25">
      <c r="B126" s="107"/>
      <c r="E126" s="109" t="s">
        <v>2</v>
      </c>
      <c r="F126" s="110" t="s">
        <v>60</v>
      </c>
      <c r="G126" s="111" t="s">
        <v>130</v>
      </c>
      <c r="H126" s="70">
        <v>13531</v>
      </c>
      <c r="I126" s="70">
        <v>20989</v>
      </c>
      <c r="J126" s="70">
        <v>15670</v>
      </c>
      <c r="K126" s="70">
        <v>14956</v>
      </c>
      <c r="L126" s="70">
        <v>16046</v>
      </c>
      <c r="M126" s="70">
        <v>14925</v>
      </c>
      <c r="N126" s="70">
        <v>15364</v>
      </c>
      <c r="O126" s="112">
        <v>13596</v>
      </c>
      <c r="P126" s="112">
        <v>11975</v>
      </c>
      <c r="R126" s="111" t="s">
        <v>130</v>
      </c>
      <c r="S126" s="220">
        <v>11.6</v>
      </c>
      <c r="T126" s="220">
        <v>10.1</v>
      </c>
      <c r="U126" s="220">
        <v>11.3</v>
      </c>
      <c r="V126" s="220">
        <v>11.2</v>
      </c>
      <c r="W126" s="220">
        <v>12.4</v>
      </c>
      <c r="X126" s="220">
        <v>12.7</v>
      </c>
      <c r="Y126" s="220">
        <v>11.6</v>
      </c>
      <c r="Z126" s="220">
        <v>13.8</v>
      </c>
      <c r="AA126" s="220">
        <v>14.9</v>
      </c>
      <c r="AB126" s="126"/>
      <c r="AC126" s="111" t="s">
        <v>130</v>
      </c>
      <c r="AD126" s="70">
        <f t="shared" si="60"/>
        <v>3139.192</v>
      </c>
      <c r="AE126" s="70">
        <f t="shared" si="48"/>
        <v>4239.7780000000002</v>
      </c>
      <c r="AF126" s="70">
        <f t="shared" si="48"/>
        <v>3541.42</v>
      </c>
      <c r="AG126" s="70">
        <f t="shared" si="48"/>
        <v>3350.1439999999998</v>
      </c>
      <c r="AH126" s="70">
        <f t="shared" si="48"/>
        <v>3979.4079999999999</v>
      </c>
      <c r="AI126" s="70">
        <f t="shared" si="48"/>
        <v>3790.95</v>
      </c>
      <c r="AJ126" s="70">
        <f t="shared" si="48"/>
        <v>3564.4479999999999</v>
      </c>
      <c r="AK126" s="70">
        <f t="shared" si="52"/>
        <v>3752.4960000000005</v>
      </c>
      <c r="AL126" s="70">
        <f t="shared" si="52"/>
        <v>3568.55</v>
      </c>
      <c r="AN126" s="111" t="s">
        <v>130</v>
      </c>
      <c r="AO126" s="113">
        <f t="shared" ref="AO126:AW126" si="84">H126/H123</f>
        <v>0.10610135733833088</v>
      </c>
      <c r="AP126" s="113">
        <f t="shared" si="84"/>
        <v>0.17118924694348608</v>
      </c>
      <c r="AQ126" s="113">
        <f t="shared" si="84"/>
        <v>0.13675437448182573</v>
      </c>
      <c r="AR126" s="113">
        <f t="shared" si="84"/>
        <v>0.14049128739843125</v>
      </c>
      <c r="AS126" s="113">
        <f t="shared" si="84"/>
        <v>0.1568401298041209</v>
      </c>
      <c r="AT126" s="113">
        <f t="shared" si="84"/>
        <v>0.15460713730771222</v>
      </c>
      <c r="AU126" s="113">
        <f t="shared" si="84"/>
        <v>0.1587108103920252</v>
      </c>
      <c r="AV126" s="113">
        <f t="shared" si="84"/>
        <v>0.13734026971059143</v>
      </c>
      <c r="AW126" s="113">
        <f t="shared" si="84"/>
        <v>0.12184202761413469</v>
      </c>
      <c r="AY126" s="111" t="s">
        <v>130</v>
      </c>
      <c r="AZ126" s="179">
        <f t="shared" si="50"/>
        <v>2.4615514902492763E-2</v>
      </c>
      <c r="BA126" s="179">
        <f t="shared" si="73"/>
        <v>3.4580227882584184E-2</v>
      </c>
      <c r="BB126" s="179">
        <f t="shared" si="74"/>
        <v>3.0906488632892616E-2</v>
      </c>
      <c r="BC126" s="179">
        <f t="shared" si="75"/>
        <v>3.1470048377248601E-2</v>
      </c>
      <c r="BD126" s="179">
        <f t="shared" si="76"/>
        <v>3.8896352191421985E-2</v>
      </c>
      <c r="BE126" s="179">
        <f t="shared" si="77"/>
        <v>3.9270212876158901E-2</v>
      </c>
      <c r="BF126" s="179">
        <f t="shared" si="78"/>
        <v>3.6820908010949845E-2</v>
      </c>
      <c r="BG126" s="179">
        <f t="shared" si="78"/>
        <v>3.7905914440123235E-2</v>
      </c>
      <c r="BH126" s="179">
        <f t="shared" si="78"/>
        <v>3.6308924229012135E-2</v>
      </c>
    </row>
    <row r="127" spans="2:68" s="108" customFormat="1" x14ac:dyDescent="0.25">
      <c r="B127" s="107"/>
      <c r="E127" s="109" t="s">
        <v>2</v>
      </c>
      <c r="F127" s="110" t="s">
        <v>60</v>
      </c>
      <c r="G127" s="111" t="s">
        <v>131</v>
      </c>
      <c r="H127" s="112">
        <v>31866</v>
      </c>
      <c r="I127" s="112">
        <v>30687</v>
      </c>
      <c r="J127" s="112">
        <v>30296</v>
      </c>
      <c r="K127" s="112">
        <v>27081</v>
      </c>
      <c r="L127" s="112">
        <v>31957</v>
      </c>
      <c r="M127" s="112">
        <v>24900</v>
      </c>
      <c r="N127" s="112">
        <v>28677</v>
      </c>
      <c r="O127" s="112">
        <v>35138</v>
      </c>
      <c r="P127" s="112">
        <v>34184</v>
      </c>
      <c r="R127" s="111" t="s">
        <v>131</v>
      </c>
      <c r="S127" s="220">
        <v>7.6</v>
      </c>
      <c r="T127" s="220">
        <v>7.7</v>
      </c>
      <c r="U127" s="220">
        <v>7.6</v>
      </c>
      <c r="V127" s="220">
        <v>7.6</v>
      </c>
      <c r="W127" s="220">
        <v>7.3</v>
      </c>
      <c r="X127" s="220">
        <v>9.1</v>
      </c>
      <c r="Y127" s="220">
        <v>7.1</v>
      </c>
      <c r="Z127" s="220">
        <v>7.2</v>
      </c>
      <c r="AA127" s="220">
        <v>6.6</v>
      </c>
      <c r="AB127" s="126"/>
      <c r="AC127" s="111" t="s">
        <v>131</v>
      </c>
      <c r="AD127" s="112">
        <f t="shared" si="60"/>
        <v>4843.6319999999996</v>
      </c>
      <c r="AE127" s="112">
        <f t="shared" si="48"/>
        <v>4725.7979999999998</v>
      </c>
      <c r="AF127" s="112">
        <f t="shared" si="48"/>
        <v>4604.9919999999993</v>
      </c>
      <c r="AG127" s="112">
        <f t="shared" si="48"/>
        <v>4116.3119999999999</v>
      </c>
      <c r="AH127" s="112">
        <f t="shared" si="48"/>
        <v>4665.7219999999998</v>
      </c>
      <c r="AI127" s="112">
        <f t="shared" si="48"/>
        <v>4531.8</v>
      </c>
      <c r="AJ127" s="112">
        <f t="shared" si="48"/>
        <v>4072.1339999999996</v>
      </c>
      <c r="AK127" s="112">
        <f t="shared" si="52"/>
        <v>5059.8720000000003</v>
      </c>
      <c r="AL127" s="112">
        <f t="shared" si="52"/>
        <v>4512.2879999999996</v>
      </c>
      <c r="AN127" s="111" t="s">
        <v>131</v>
      </c>
      <c r="AO127" s="113">
        <f t="shared" ref="AO127:AW127" si="85">H127/H123</f>
        <v>0.24987257800186624</v>
      </c>
      <c r="AP127" s="113">
        <f t="shared" si="85"/>
        <v>0.25028750397611882</v>
      </c>
      <c r="AQ127" s="113">
        <f t="shared" si="85"/>
        <v>0.26439760876205437</v>
      </c>
      <c r="AR127" s="113">
        <f t="shared" si="85"/>
        <v>0.25438917852613779</v>
      </c>
      <c r="AS127" s="113">
        <f t="shared" si="85"/>
        <v>0.3123607147046174</v>
      </c>
      <c r="AT127" s="113">
        <f t="shared" si="85"/>
        <v>0.25793753560884652</v>
      </c>
      <c r="AU127" s="113">
        <f t="shared" si="85"/>
        <v>0.29623469862093899</v>
      </c>
      <c r="AV127" s="113">
        <f t="shared" si="85"/>
        <v>0.35494721955654324</v>
      </c>
      <c r="AW127" s="113">
        <f t="shared" si="85"/>
        <v>0.34781193085274159</v>
      </c>
      <c r="AY127" s="111" t="s">
        <v>131</v>
      </c>
      <c r="AZ127" s="179">
        <f t="shared" si="50"/>
        <v>3.798063185628367E-2</v>
      </c>
      <c r="BA127" s="179">
        <f t="shared" si="73"/>
        <v>3.85442756123223E-2</v>
      </c>
      <c r="BB127" s="179">
        <f t="shared" si="74"/>
        <v>4.018843653183226E-2</v>
      </c>
      <c r="BC127" s="179">
        <f t="shared" si="75"/>
        <v>3.8667155135972943E-2</v>
      </c>
      <c r="BD127" s="179">
        <f t="shared" si="76"/>
        <v>4.5604664346874137E-2</v>
      </c>
      <c r="BE127" s="179">
        <f t="shared" si="77"/>
        <v>4.6944631480810066E-2</v>
      </c>
      <c r="BF127" s="179">
        <f t="shared" si="78"/>
        <v>4.2065327204173331E-2</v>
      </c>
      <c r="BG127" s="179">
        <f t="shared" si="78"/>
        <v>5.1112399616142223E-2</v>
      </c>
      <c r="BH127" s="179">
        <f t="shared" si="78"/>
        <v>4.591117487256189E-2</v>
      </c>
    </row>
    <row r="128" spans="2:68" s="87" customFormat="1" x14ac:dyDescent="0.25">
      <c r="B128" s="84"/>
      <c r="C128" s="85"/>
      <c r="D128" s="85"/>
      <c r="E128" s="109" t="s">
        <v>3</v>
      </c>
      <c r="F128" s="110" t="s">
        <v>60</v>
      </c>
      <c r="G128" s="195" t="s">
        <v>7</v>
      </c>
      <c r="H128" s="69">
        <v>137697</v>
      </c>
      <c r="I128" s="69">
        <v>146378</v>
      </c>
      <c r="J128" s="69">
        <v>150871</v>
      </c>
      <c r="K128" s="69">
        <v>157492</v>
      </c>
      <c r="L128" s="69">
        <v>161847</v>
      </c>
      <c r="M128" s="69">
        <v>163566</v>
      </c>
      <c r="N128" s="69">
        <v>164931</v>
      </c>
      <c r="O128" s="69">
        <v>165846</v>
      </c>
      <c r="P128" s="69">
        <v>159569</v>
      </c>
      <c r="R128" s="195" t="s">
        <v>7</v>
      </c>
      <c r="S128" s="226">
        <v>1.2</v>
      </c>
      <c r="T128" s="226">
        <v>1.4</v>
      </c>
      <c r="U128" s="226">
        <v>1</v>
      </c>
      <c r="V128" s="226">
        <v>1.1000000000000001</v>
      </c>
      <c r="W128" s="226">
        <v>1.2</v>
      </c>
      <c r="X128" s="226">
        <v>1.3</v>
      </c>
      <c r="Y128" s="226">
        <v>1.3</v>
      </c>
      <c r="Z128" s="226">
        <v>1.7</v>
      </c>
      <c r="AA128" s="226">
        <v>1.3</v>
      </c>
      <c r="AB128" s="125"/>
      <c r="AC128" s="195" t="s">
        <v>7</v>
      </c>
      <c r="AD128" s="69">
        <f t="shared" si="60"/>
        <v>3304.7280000000001</v>
      </c>
      <c r="AE128" s="69">
        <f t="shared" si="48"/>
        <v>4098.5839999999998</v>
      </c>
      <c r="AF128" s="69">
        <f t="shared" si="48"/>
        <v>3017.42</v>
      </c>
      <c r="AG128" s="69">
        <f t="shared" si="48"/>
        <v>3464.8240000000001</v>
      </c>
      <c r="AH128" s="69">
        <f t="shared" si="48"/>
        <v>3884.328</v>
      </c>
      <c r="AI128" s="69">
        <f t="shared" si="48"/>
        <v>4252.7160000000003</v>
      </c>
      <c r="AJ128" s="69">
        <f t="shared" si="48"/>
        <v>4288.2060000000001</v>
      </c>
      <c r="AK128" s="69">
        <f t="shared" si="52"/>
        <v>5638.7640000000001</v>
      </c>
      <c r="AL128" s="69">
        <f t="shared" si="52"/>
        <v>4148.7939999999999</v>
      </c>
      <c r="AN128" s="195" t="s">
        <v>7</v>
      </c>
      <c r="AO128" s="98">
        <f t="shared" ref="AO128:AW128" si="86">H128/H128</f>
        <v>1</v>
      </c>
      <c r="AP128" s="98">
        <f t="shared" si="86"/>
        <v>1</v>
      </c>
      <c r="AQ128" s="98">
        <f t="shared" si="86"/>
        <v>1</v>
      </c>
      <c r="AR128" s="98">
        <f t="shared" si="86"/>
        <v>1</v>
      </c>
      <c r="AS128" s="98">
        <f t="shared" si="86"/>
        <v>1</v>
      </c>
      <c r="AT128" s="98">
        <f t="shared" si="86"/>
        <v>1</v>
      </c>
      <c r="AU128" s="98">
        <f t="shared" si="86"/>
        <v>1</v>
      </c>
      <c r="AV128" s="98">
        <f t="shared" si="86"/>
        <v>1</v>
      </c>
      <c r="AW128" s="98">
        <f t="shared" si="86"/>
        <v>1</v>
      </c>
      <c r="AX128" s="191"/>
      <c r="AY128" s="195" t="s">
        <v>7</v>
      </c>
      <c r="AZ128" s="178">
        <f t="shared" si="50"/>
        <v>2.4E-2</v>
      </c>
      <c r="BA128" s="178">
        <f t="shared" si="73"/>
        <v>2.7999999999999997E-2</v>
      </c>
      <c r="BB128" s="178">
        <f t="shared" si="74"/>
        <v>0.02</v>
      </c>
      <c r="BC128" s="178">
        <f t="shared" si="75"/>
        <v>2.2000000000000002E-2</v>
      </c>
      <c r="BD128" s="178">
        <f t="shared" si="76"/>
        <v>2.4E-2</v>
      </c>
      <c r="BE128" s="178">
        <f t="shared" si="77"/>
        <v>2.6000000000000002E-2</v>
      </c>
      <c r="BF128" s="178">
        <f t="shared" si="78"/>
        <v>2.6000000000000002E-2</v>
      </c>
      <c r="BG128" s="178">
        <f t="shared" si="78"/>
        <v>3.4000000000000002E-2</v>
      </c>
      <c r="BH128" s="178">
        <f t="shared" si="78"/>
        <v>2.6000000000000002E-2</v>
      </c>
      <c r="BI128" s="191"/>
      <c r="BJ128" s="191"/>
      <c r="BK128" s="191"/>
      <c r="BL128" s="191"/>
      <c r="BM128" s="191"/>
      <c r="BN128" s="191"/>
      <c r="BO128" s="191"/>
      <c r="BP128" s="191"/>
    </row>
    <row r="129" spans="2:68" s="108" customFormat="1" x14ac:dyDescent="0.25">
      <c r="B129" s="107"/>
      <c r="E129" s="109" t="s">
        <v>3</v>
      </c>
      <c r="F129" s="110" t="s">
        <v>60</v>
      </c>
      <c r="G129" s="111" t="s">
        <v>54</v>
      </c>
      <c r="H129" s="112">
        <v>35186</v>
      </c>
      <c r="I129" s="112">
        <v>32016</v>
      </c>
      <c r="J129" s="112">
        <v>31053</v>
      </c>
      <c r="K129" s="112">
        <v>41109</v>
      </c>
      <c r="L129" s="112">
        <v>39401</v>
      </c>
      <c r="M129" s="112">
        <v>38572</v>
      </c>
      <c r="N129" s="112">
        <v>40782</v>
      </c>
      <c r="O129" s="112">
        <v>41693</v>
      </c>
      <c r="P129" s="112">
        <v>40578</v>
      </c>
      <c r="R129" s="111" t="s">
        <v>54</v>
      </c>
      <c r="S129" s="220">
        <v>6.5</v>
      </c>
      <c r="T129" s="220">
        <v>8</v>
      </c>
      <c r="U129" s="220">
        <v>7.6</v>
      </c>
      <c r="V129" s="220">
        <v>6.2</v>
      </c>
      <c r="W129" s="220">
        <v>7.2</v>
      </c>
      <c r="X129" s="220">
        <v>7.8</v>
      </c>
      <c r="Y129" s="220">
        <v>6.3</v>
      </c>
      <c r="Z129" s="220">
        <v>7.2</v>
      </c>
      <c r="AA129" s="220">
        <v>7.1</v>
      </c>
      <c r="AB129" s="126"/>
      <c r="AC129" s="111" t="s">
        <v>54</v>
      </c>
      <c r="AD129" s="112">
        <f t="shared" si="60"/>
        <v>4574.18</v>
      </c>
      <c r="AE129" s="112">
        <f t="shared" ref="AE129:AE152" si="87">2*(I129*T129/100)</f>
        <v>5122.5600000000004</v>
      </c>
      <c r="AF129" s="112">
        <f t="shared" ref="AF129:AF152" si="88">2*(J129*U129/100)</f>
        <v>4720.0559999999996</v>
      </c>
      <c r="AG129" s="112">
        <f t="shared" ref="AG129:AG152" si="89">2*(K129*V129/100)</f>
        <v>5097.5160000000005</v>
      </c>
      <c r="AH129" s="112">
        <f t="shared" ref="AH129:AH152" si="90">2*(L129*W129/100)</f>
        <v>5673.7440000000006</v>
      </c>
      <c r="AI129" s="112">
        <f t="shared" ref="AI129:AI152" si="91">2*(M129*X129/100)</f>
        <v>6017.232</v>
      </c>
      <c r="AJ129" s="112">
        <f t="shared" ref="AJ129:AJ152" si="92">2*(N129*Y129/100)</f>
        <v>5138.5320000000002</v>
      </c>
      <c r="AK129" s="112">
        <f t="shared" si="52"/>
        <v>6003.7920000000004</v>
      </c>
      <c r="AL129" s="112">
        <f t="shared" si="52"/>
        <v>5762.076</v>
      </c>
      <c r="AN129" s="111" t="s">
        <v>54</v>
      </c>
      <c r="AO129" s="113">
        <f t="shared" ref="AO129:AW129" si="93">H129/H128</f>
        <v>0.25553207404663864</v>
      </c>
      <c r="AP129" s="113">
        <f t="shared" si="93"/>
        <v>0.21872139255899112</v>
      </c>
      <c r="AQ129" s="113">
        <f t="shared" si="93"/>
        <v>0.20582484374067914</v>
      </c>
      <c r="AR129" s="113">
        <f t="shared" si="93"/>
        <v>0.26102278210956747</v>
      </c>
      <c r="AS129" s="113">
        <f t="shared" si="93"/>
        <v>0.24344597057715003</v>
      </c>
      <c r="AT129" s="113">
        <f t="shared" si="93"/>
        <v>0.23581918002518862</v>
      </c>
      <c r="AU129" s="113">
        <f t="shared" si="93"/>
        <v>0.24726703894355823</v>
      </c>
      <c r="AV129" s="113">
        <f t="shared" si="93"/>
        <v>0.25139587328003088</v>
      </c>
      <c r="AW129" s="113">
        <f t="shared" si="93"/>
        <v>0.25429751392814393</v>
      </c>
      <c r="AY129" s="111" t="s">
        <v>54</v>
      </c>
      <c r="AZ129" s="179">
        <f t="shared" si="50"/>
        <v>3.3219169626063021E-2</v>
      </c>
      <c r="BA129" s="179">
        <f t="shared" si="73"/>
        <v>3.4995422809438577E-2</v>
      </c>
      <c r="BB129" s="179">
        <f t="shared" si="74"/>
        <v>3.1285376248583227E-2</v>
      </c>
      <c r="BC129" s="179">
        <f t="shared" si="75"/>
        <v>3.2366824981586363E-2</v>
      </c>
      <c r="BD129" s="179">
        <f t="shared" si="76"/>
        <v>3.5056219763109603E-2</v>
      </c>
      <c r="BE129" s="179">
        <f t="shared" si="77"/>
        <v>3.6787792083929426E-2</v>
      </c>
      <c r="BF129" s="179">
        <f t="shared" si="78"/>
        <v>3.1155646906888337E-2</v>
      </c>
      <c r="BG129" s="179">
        <f t="shared" si="78"/>
        <v>3.6201005752324447E-2</v>
      </c>
      <c r="BH129" s="179">
        <f t="shared" si="78"/>
        <v>3.6110246977796433E-2</v>
      </c>
    </row>
    <row r="130" spans="2:68" s="108" customFormat="1" x14ac:dyDescent="0.25">
      <c r="B130" s="107"/>
      <c r="E130" s="109" t="s">
        <v>3</v>
      </c>
      <c r="F130" s="110" t="s">
        <v>60</v>
      </c>
      <c r="G130" s="111" t="s">
        <v>55</v>
      </c>
      <c r="H130" s="70">
        <v>54621</v>
      </c>
      <c r="I130" s="70">
        <v>61907</v>
      </c>
      <c r="J130" s="112">
        <v>67647</v>
      </c>
      <c r="K130" s="112">
        <v>63036</v>
      </c>
      <c r="L130" s="112">
        <v>65128</v>
      </c>
      <c r="M130" s="112">
        <v>63183</v>
      </c>
      <c r="N130" s="112">
        <v>65472</v>
      </c>
      <c r="O130" s="112">
        <v>58235</v>
      </c>
      <c r="P130" s="112">
        <v>60717</v>
      </c>
      <c r="R130" s="111" t="s">
        <v>55</v>
      </c>
      <c r="S130" s="81">
        <v>5.0999999999999996</v>
      </c>
      <c r="T130" s="81">
        <v>4.9000000000000004</v>
      </c>
      <c r="U130" s="81">
        <v>4.4000000000000004</v>
      </c>
      <c r="V130" s="81">
        <v>4.4000000000000004</v>
      </c>
      <c r="W130" s="81">
        <v>5.4</v>
      </c>
      <c r="X130" s="81">
        <v>5.4</v>
      </c>
      <c r="Y130" s="81">
        <v>4.7</v>
      </c>
      <c r="Z130" s="81">
        <v>6.2</v>
      </c>
      <c r="AA130" s="81">
        <v>5.4</v>
      </c>
      <c r="AB130" s="126"/>
      <c r="AC130" s="111" t="s">
        <v>55</v>
      </c>
      <c r="AD130" s="70">
        <f t="shared" si="60"/>
        <v>5571.3419999999996</v>
      </c>
      <c r="AE130" s="70">
        <f t="shared" si="87"/>
        <v>6066.8860000000013</v>
      </c>
      <c r="AF130" s="70">
        <f t="shared" si="88"/>
        <v>5952.9360000000006</v>
      </c>
      <c r="AG130" s="70">
        <f t="shared" si="89"/>
        <v>5547.1680000000006</v>
      </c>
      <c r="AH130" s="70">
        <f t="shared" si="90"/>
        <v>7033.8240000000005</v>
      </c>
      <c r="AI130" s="70">
        <f t="shared" si="91"/>
        <v>6823.7640000000001</v>
      </c>
      <c r="AJ130" s="70">
        <f t="shared" si="92"/>
        <v>6154.3680000000004</v>
      </c>
      <c r="AK130" s="70">
        <f t="shared" ref="AK130:AK152" si="94">2*(O130*Z130/100)</f>
        <v>7221.14</v>
      </c>
      <c r="AL130" s="70">
        <f t="shared" ref="AL130:AL152" si="95">2*(P130*AA130/100)</f>
        <v>6557.4360000000006</v>
      </c>
      <c r="AN130" s="111" t="s">
        <v>55</v>
      </c>
      <c r="AO130" s="113">
        <f t="shared" ref="AO130:AW130" si="96">H130/H128</f>
        <v>0.39667530883025776</v>
      </c>
      <c r="AP130" s="113">
        <f t="shared" si="96"/>
        <v>0.42292557624779681</v>
      </c>
      <c r="AQ130" s="113">
        <f t="shared" si="96"/>
        <v>0.44837642754406082</v>
      </c>
      <c r="AR130" s="113">
        <f t="shared" si="96"/>
        <v>0.40024890153150638</v>
      </c>
      <c r="AS130" s="113">
        <f t="shared" si="96"/>
        <v>0.40240474027939965</v>
      </c>
      <c r="AT130" s="113">
        <f t="shared" si="96"/>
        <v>0.38628443564065884</v>
      </c>
      <c r="AU130" s="113">
        <f t="shared" si="96"/>
        <v>0.39696600396529458</v>
      </c>
      <c r="AV130" s="113">
        <f t="shared" si="96"/>
        <v>0.35113900847774443</v>
      </c>
      <c r="AW130" s="113">
        <f t="shared" si="96"/>
        <v>0.38050623868044547</v>
      </c>
      <c r="AY130" s="111" t="s">
        <v>55</v>
      </c>
      <c r="AZ130" s="179">
        <f t="shared" si="50"/>
        <v>4.0460881500686288E-2</v>
      </c>
      <c r="BA130" s="179">
        <f t="shared" si="73"/>
        <v>4.1446706472284094E-2</v>
      </c>
      <c r="BB130" s="179">
        <f t="shared" si="74"/>
        <v>3.9457125623877355E-2</v>
      </c>
      <c r="BC130" s="179">
        <f t="shared" si="75"/>
        <v>3.522190333477257E-2</v>
      </c>
      <c r="BD130" s="179">
        <f t="shared" si="76"/>
        <v>4.3459711950175166E-2</v>
      </c>
      <c r="BE130" s="179">
        <f t="shared" si="77"/>
        <v>4.1718719049191159E-2</v>
      </c>
      <c r="BF130" s="179">
        <f t="shared" si="78"/>
        <v>3.7314804372737688E-2</v>
      </c>
      <c r="BG130" s="179">
        <f t="shared" si="78"/>
        <v>4.3541237051240307E-2</v>
      </c>
      <c r="BH130" s="179">
        <f t="shared" si="78"/>
        <v>4.1094673777488114E-2</v>
      </c>
    </row>
    <row r="131" spans="2:68" s="108" customFormat="1" x14ac:dyDescent="0.25">
      <c r="B131" s="107"/>
      <c r="E131" s="109" t="s">
        <v>3</v>
      </c>
      <c r="F131" s="110" t="s">
        <v>60</v>
      </c>
      <c r="G131" s="111" t="s">
        <v>130</v>
      </c>
      <c r="H131" s="70">
        <v>14105</v>
      </c>
      <c r="I131" s="70">
        <v>18445</v>
      </c>
      <c r="J131" s="70">
        <v>16293</v>
      </c>
      <c r="K131" s="70">
        <v>15516</v>
      </c>
      <c r="L131" s="70">
        <v>17268</v>
      </c>
      <c r="M131" s="70">
        <v>17449</v>
      </c>
      <c r="N131" s="70">
        <v>17796</v>
      </c>
      <c r="O131" s="112">
        <v>14381</v>
      </c>
      <c r="P131" s="112">
        <v>15451</v>
      </c>
      <c r="R131" s="111" t="s">
        <v>130</v>
      </c>
      <c r="S131" s="220">
        <v>12.6</v>
      </c>
      <c r="T131" s="220">
        <v>10.9</v>
      </c>
      <c r="U131" s="220">
        <v>11</v>
      </c>
      <c r="V131" s="220">
        <v>10.8</v>
      </c>
      <c r="W131" s="220">
        <v>12.3</v>
      </c>
      <c r="X131" s="220">
        <v>11.9</v>
      </c>
      <c r="Y131" s="220">
        <v>11.2</v>
      </c>
      <c r="Z131" s="220">
        <v>13.7</v>
      </c>
      <c r="AA131" s="220">
        <v>12.8</v>
      </c>
      <c r="AB131" s="126"/>
      <c r="AC131" s="111" t="s">
        <v>130</v>
      </c>
      <c r="AD131" s="70">
        <f t="shared" si="60"/>
        <v>3554.46</v>
      </c>
      <c r="AE131" s="70">
        <f t="shared" si="87"/>
        <v>4021.01</v>
      </c>
      <c r="AF131" s="70">
        <f t="shared" si="88"/>
        <v>3584.46</v>
      </c>
      <c r="AG131" s="70">
        <f t="shared" si="89"/>
        <v>3351.4560000000001</v>
      </c>
      <c r="AH131" s="70">
        <f t="shared" si="90"/>
        <v>4247.9280000000008</v>
      </c>
      <c r="AI131" s="70">
        <f t="shared" si="91"/>
        <v>4152.8620000000001</v>
      </c>
      <c r="AJ131" s="70">
        <f t="shared" si="92"/>
        <v>3986.3039999999996</v>
      </c>
      <c r="AK131" s="70">
        <f t="shared" si="94"/>
        <v>3940.3939999999998</v>
      </c>
      <c r="AL131" s="70">
        <f t="shared" si="95"/>
        <v>3955.4560000000001</v>
      </c>
      <c r="AN131" s="111" t="s">
        <v>130</v>
      </c>
      <c r="AO131" s="113">
        <f t="shared" ref="AO131:AW131" si="97">H131/H128</f>
        <v>0.1024350566824259</v>
      </c>
      <c r="AP131" s="113">
        <f t="shared" si="97"/>
        <v>0.12600937299320936</v>
      </c>
      <c r="AQ131" s="113">
        <f t="shared" si="97"/>
        <v>0.10799292110478488</v>
      </c>
      <c r="AR131" s="113">
        <f t="shared" si="97"/>
        <v>9.851928986869174E-2</v>
      </c>
      <c r="AS131" s="113">
        <f t="shared" si="97"/>
        <v>0.10669335854232702</v>
      </c>
      <c r="AT131" s="113">
        <f t="shared" si="97"/>
        <v>0.10667864959710453</v>
      </c>
      <c r="AU131" s="113">
        <f t="shared" si="97"/>
        <v>0.10789966713352857</v>
      </c>
      <c r="AV131" s="113">
        <f t="shared" si="97"/>
        <v>8.6712974687360569E-2</v>
      </c>
      <c r="AW131" s="113">
        <f t="shared" si="97"/>
        <v>9.6829584693768844E-2</v>
      </c>
      <c r="AY131" s="111" t="s">
        <v>130</v>
      </c>
      <c r="AZ131" s="179">
        <f t="shared" si="50"/>
        <v>2.5813634283971324E-2</v>
      </c>
      <c r="BA131" s="179">
        <f t="shared" si="73"/>
        <v>2.7470043312519642E-2</v>
      </c>
      <c r="BB131" s="179">
        <f t="shared" si="74"/>
        <v>2.3758442643052671E-2</v>
      </c>
      <c r="BC131" s="179">
        <f t="shared" si="75"/>
        <v>2.1280166611637417E-2</v>
      </c>
      <c r="BD131" s="179">
        <f t="shared" si="76"/>
        <v>2.6246566201412448E-2</v>
      </c>
      <c r="BE131" s="179">
        <f t="shared" si="77"/>
        <v>2.5389518604110883E-2</v>
      </c>
      <c r="BF131" s="179">
        <f t="shared" si="78"/>
        <v>2.41695254379104E-2</v>
      </c>
      <c r="BG131" s="179">
        <f t="shared" si="78"/>
        <v>2.3759355064336796E-2</v>
      </c>
      <c r="BH131" s="179">
        <f t="shared" si="78"/>
        <v>2.4788373681604824E-2</v>
      </c>
    </row>
    <row r="132" spans="2:68" s="108" customFormat="1" x14ac:dyDescent="0.25">
      <c r="B132" s="107"/>
      <c r="E132" s="109" t="s">
        <v>3</v>
      </c>
      <c r="F132" s="110" t="s">
        <v>60</v>
      </c>
      <c r="G132" s="111" t="s">
        <v>131</v>
      </c>
      <c r="H132" s="112">
        <v>33714</v>
      </c>
      <c r="I132" s="112">
        <v>33913</v>
      </c>
      <c r="J132" s="112">
        <v>35878</v>
      </c>
      <c r="K132" s="112">
        <v>37786</v>
      </c>
      <c r="L132" s="112">
        <v>40050</v>
      </c>
      <c r="M132" s="112">
        <v>44363</v>
      </c>
      <c r="N132" s="112">
        <v>40881</v>
      </c>
      <c r="O132" s="112">
        <v>51537</v>
      </c>
      <c r="P132" s="112">
        <v>42823</v>
      </c>
      <c r="R132" s="111" t="s">
        <v>131</v>
      </c>
      <c r="S132" s="220">
        <v>6.7</v>
      </c>
      <c r="T132" s="220">
        <v>8</v>
      </c>
      <c r="U132" s="220">
        <v>7</v>
      </c>
      <c r="V132" s="220">
        <v>6.7</v>
      </c>
      <c r="W132" s="220">
        <v>6.1</v>
      </c>
      <c r="X132" s="220">
        <v>6.7</v>
      </c>
      <c r="Y132" s="220">
        <v>6.3</v>
      </c>
      <c r="Z132" s="220">
        <v>6.2</v>
      </c>
      <c r="AA132" s="220">
        <v>7.1</v>
      </c>
      <c r="AB132" s="126"/>
      <c r="AC132" s="111" t="s">
        <v>131</v>
      </c>
      <c r="AD132" s="112">
        <f t="shared" si="60"/>
        <v>4517.6760000000004</v>
      </c>
      <c r="AE132" s="112">
        <f t="shared" si="87"/>
        <v>5426.08</v>
      </c>
      <c r="AF132" s="112">
        <f t="shared" si="88"/>
        <v>5022.92</v>
      </c>
      <c r="AG132" s="112">
        <f t="shared" si="89"/>
        <v>5063.3240000000005</v>
      </c>
      <c r="AH132" s="112">
        <f t="shared" si="90"/>
        <v>4886.1000000000004</v>
      </c>
      <c r="AI132" s="112">
        <f t="shared" si="91"/>
        <v>5944.6420000000007</v>
      </c>
      <c r="AJ132" s="112">
        <f t="shared" si="92"/>
        <v>5151.0059999999994</v>
      </c>
      <c r="AK132" s="112">
        <f t="shared" si="94"/>
        <v>6390.5880000000006</v>
      </c>
      <c r="AL132" s="112">
        <f t="shared" si="95"/>
        <v>6080.866</v>
      </c>
      <c r="AN132" s="111" t="s">
        <v>131</v>
      </c>
      <c r="AO132" s="113">
        <f t="shared" ref="AO132:AW132" si="98">H132/H128</f>
        <v>0.24484193555415151</v>
      </c>
      <c r="AP132" s="113">
        <f t="shared" si="98"/>
        <v>0.23168099031275191</v>
      </c>
      <c r="AQ132" s="113">
        <f t="shared" si="98"/>
        <v>0.23780580761047518</v>
      </c>
      <c r="AR132" s="113">
        <f t="shared" si="98"/>
        <v>0.23992329769131129</v>
      </c>
      <c r="AS132" s="113">
        <f t="shared" si="98"/>
        <v>0.24745593060112328</v>
      </c>
      <c r="AT132" s="113">
        <f t="shared" si="98"/>
        <v>0.27122384847706738</v>
      </c>
      <c r="AU132" s="113">
        <f t="shared" si="98"/>
        <v>0.24786728995761864</v>
      </c>
      <c r="AV132" s="113">
        <f t="shared" si="98"/>
        <v>0.31075214355486414</v>
      </c>
      <c r="AW132" s="113">
        <f t="shared" si="98"/>
        <v>0.26836666269764176</v>
      </c>
      <c r="AY132" s="111" t="s">
        <v>131</v>
      </c>
      <c r="AZ132" s="179">
        <f t="shared" si="50"/>
        <v>3.2808819364256302E-2</v>
      </c>
      <c r="BA132" s="179">
        <f t="shared" si="73"/>
        <v>3.7068958450040303E-2</v>
      </c>
      <c r="BB132" s="179">
        <f t="shared" si="74"/>
        <v>3.3292813065466526E-2</v>
      </c>
      <c r="BC132" s="179">
        <f t="shared" si="75"/>
        <v>3.2149721890635717E-2</v>
      </c>
      <c r="BD132" s="179">
        <f t="shared" si="76"/>
        <v>3.0189623533337036E-2</v>
      </c>
      <c r="BE132" s="179">
        <f t="shared" si="77"/>
        <v>3.6343995695927028E-2</v>
      </c>
      <c r="BF132" s="179">
        <f t="shared" si="78"/>
        <v>3.1231278534659949E-2</v>
      </c>
      <c r="BG132" s="179">
        <f t="shared" si="78"/>
        <v>3.8533265800803157E-2</v>
      </c>
      <c r="BH132" s="179">
        <f t="shared" si="78"/>
        <v>3.8108066103065129E-2</v>
      </c>
    </row>
    <row r="133" spans="2:68" s="87" customFormat="1" x14ac:dyDescent="0.25">
      <c r="B133" s="84"/>
      <c r="C133" s="85"/>
      <c r="D133" s="85"/>
      <c r="E133" s="109" t="s">
        <v>45</v>
      </c>
      <c r="F133" s="110" t="s">
        <v>60</v>
      </c>
      <c r="G133" s="195" t="s">
        <v>7</v>
      </c>
      <c r="H133" s="69">
        <v>59485</v>
      </c>
      <c r="I133" s="69">
        <v>60384</v>
      </c>
      <c r="J133" s="69">
        <v>63602</v>
      </c>
      <c r="K133" s="69">
        <v>67328</v>
      </c>
      <c r="L133" s="69">
        <v>71844</v>
      </c>
      <c r="M133" s="69">
        <v>78276</v>
      </c>
      <c r="N133" s="69">
        <v>85840</v>
      </c>
      <c r="O133" s="69">
        <v>94478</v>
      </c>
      <c r="P133" s="69">
        <v>102336</v>
      </c>
      <c r="R133" s="195" t="s">
        <v>7</v>
      </c>
      <c r="S133" s="226">
        <v>1.9</v>
      </c>
      <c r="T133" s="226">
        <v>2</v>
      </c>
      <c r="U133" s="226">
        <v>1.9</v>
      </c>
      <c r="V133" s="226">
        <v>1.7</v>
      </c>
      <c r="W133" s="226">
        <v>1.8</v>
      </c>
      <c r="X133" s="226">
        <v>1.9</v>
      </c>
      <c r="Y133" s="226">
        <v>1.7</v>
      </c>
      <c r="Z133" s="226">
        <v>1.7</v>
      </c>
      <c r="AA133" s="226">
        <v>1.6</v>
      </c>
      <c r="AB133" s="125"/>
      <c r="AC133" s="195" t="s">
        <v>7</v>
      </c>
      <c r="AD133" s="69">
        <f t="shared" si="60"/>
        <v>2260.4299999999998</v>
      </c>
      <c r="AE133" s="69">
        <f t="shared" si="87"/>
        <v>2415.36</v>
      </c>
      <c r="AF133" s="69">
        <f t="shared" si="88"/>
        <v>2416.8759999999997</v>
      </c>
      <c r="AG133" s="69">
        <f t="shared" si="89"/>
        <v>2289.152</v>
      </c>
      <c r="AH133" s="69">
        <f t="shared" si="90"/>
        <v>2586.384</v>
      </c>
      <c r="AI133" s="69">
        <f t="shared" si="91"/>
        <v>2974.4879999999998</v>
      </c>
      <c r="AJ133" s="69">
        <f t="shared" si="92"/>
        <v>2918.56</v>
      </c>
      <c r="AK133" s="69">
        <f t="shared" si="94"/>
        <v>3212.252</v>
      </c>
      <c r="AL133" s="69">
        <f t="shared" si="95"/>
        <v>3274.752</v>
      </c>
      <c r="AN133" s="195" t="s">
        <v>7</v>
      </c>
      <c r="AO133" s="98">
        <f t="shared" ref="AO133:AW133" si="99">H133/H133</f>
        <v>1</v>
      </c>
      <c r="AP133" s="98">
        <f t="shared" si="99"/>
        <v>1</v>
      </c>
      <c r="AQ133" s="98">
        <f t="shared" si="99"/>
        <v>1</v>
      </c>
      <c r="AR133" s="98">
        <f t="shared" si="99"/>
        <v>1</v>
      </c>
      <c r="AS133" s="98">
        <f t="shared" si="99"/>
        <v>1</v>
      </c>
      <c r="AT133" s="98">
        <f t="shared" si="99"/>
        <v>1</v>
      </c>
      <c r="AU133" s="98">
        <f t="shared" si="99"/>
        <v>1</v>
      </c>
      <c r="AV133" s="98">
        <f t="shared" si="99"/>
        <v>1</v>
      </c>
      <c r="AW133" s="98">
        <f t="shared" si="99"/>
        <v>1</v>
      </c>
      <c r="AX133" s="191"/>
      <c r="AY133" s="195" t="s">
        <v>7</v>
      </c>
      <c r="AZ133" s="178">
        <f t="shared" si="50"/>
        <v>3.7999999999999999E-2</v>
      </c>
      <c r="BA133" s="178">
        <f t="shared" si="73"/>
        <v>0.04</v>
      </c>
      <c r="BB133" s="178">
        <f t="shared" si="74"/>
        <v>3.7999999999999999E-2</v>
      </c>
      <c r="BC133" s="178">
        <f t="shared" si="75"/>
        <v>3.4000000000000002E-2</v>
      </c>
      <c r="BD133" s="178">
        <f t="shared" si="76"/>
        <v>3.6000000000000004E-2</v>
      </c>
      <c r="BE133" s="178">
        <f t="shared" si="77"/>
        <v>3.7999999999999999E-2</v>
      </c>
      <c r="BF133" s="178">
        <f t="shared" si="78"/>
        <v>3.4000000000000002E-2</v>
      </c>
      <c r="BG133" s="178">
        <f t="shared" si="78"/>
        <v>3.4000000000000002E-2</v>
      </c>
      <c r="BH133" s="178">
        <f t="shared" si="78"/>
        <v>3.2000000000000001E-2</v>
      </c>
      <c r="BI133" s="191"/>
      <c r="BJ133" s="191"/>
      <c r="BK133" s="191"/>
      <c r="BL133" s="191"/>
      <c r="BM133" s="191"/>
      <c r="BN133" s="191"/>
      <c r="BO133" s="191"/>
      <c r="BP133" s="191"/>
    </row>
    <row r="134" spans="2:68" s="108" customFormat="1" x14ac:dyDescent="0.25">
      <c r="B134" s="107"/>
      <c r="E134" s="109" t="s">
        <v>45</v>
      </c>
      <c r="F134" s="110" t="s">
        <v>60</v>
      </c>
      <c r="G134" s="111" t="s">
        <v>54</v>
      </c>
      <c r="H134" s="112">
        <v>7487</v>
      </c>
      <c r="I134" s="112">
        <v>7965</v>
      </c>
      <c r="J134" s="112">
        <v>7451</v>
      </c>
      <c r="K134" s="112">
        <v>8327</v>
      </c>
      <c r="L134" s="112">
        <v>6464</v>
      </c>
      <c r="M134" s="112">
        <v>9036</v>
      </c>
      <c r="N134" s="112">
        <v>8010</v>
      </c>
      <c r="O134" s="112">
        <v>11041</v>
      </c>
      <c r="P134" s="112">
        <v>9641</v>
      </c>
      <c r="R134" s="111" t="s">
        <v>54</v>
      </c>
      <c r="S134" s="220">
        <v>15.8</v>
      </c>
      <c r="T134" s="220">
        <v>17.5</v>
      </c>
      <c r="U134" s="220">
        <v>16.600000000000001</v>
      </c>
      <c r="V134" s="220">
        <v>14.8</v>
      </c>
      <c r="W134" s="220">
        <v>19</v>
      </c>
      <c r="X134" s="220">
        <v>16.3</v>
      </c>
      <c r="Y134" s="220">
        <v>16.8</v>
      </c>
      <c r="Z134" s="220">
        <v>15</v>
      </c>
      <c r="AA134" s="220">
        <v>16.899999999999999</v>
      </c>
      <c r="AB134" s="126"/>
      <c r="AC134" s="111" t="s">
        <v>54</v>
      </c>
      <c r="AD134" s="112">
        <f t="shared" si="60"/>
        <v>2365.8920000000003</v>
      </c>
      <c r="AE134" s="112">
        <f t="shared" si="87"/>
        <v>2787.75</v>
      </c>
      <c r="AF134" s="112">
        <f t="shared" si="88"/>
        <v>2473.732</v>
      </c>
      <c r="AG134" s="112">
        <f t="shared" si="89"/>
        <v>2464.7919999999999</v>
      </c>
      <c r="AH134" s="112">
        <f t="shared" si="90"/>
        <v>2456.3200000000002</v>
      </c>
      <c r="AI134" s="112">
        <f t="shared" si="91"/>
        <v>2945.7360000000003</v>
      </c>
      <c r="AJ134" s="112">
        <f t="shared" si="92"/>
        <v>2691.36</v>
      </c>
      <c r="AK134" s="112">
        <f t="shared" si="94"/>
        <v>3312.3</v>
      </c>
      <c r="AL134" s="112">
        <f t="shared" si="95"/>
        <v>3258.6579999999999</v>
      </c>
      <c r="AN134" s="111" t="s">
        <v>54</v>
      </c>
      <c r="AO134" s="113">
        <f t="shared" ref="AO134:AW134" si="100">H134/H133</f>
        <v>0.12586366310834665</v>
      </c>
      <c r="AP134" s="113">
        <f t="shared" si="100"/>
        <v>0.13190580286168521</v>
      </c>
      <c r="AQ134" s="113">
        <f t="shared" si="100"/>
        <v>0.11715040407534354</v>
      </c>
      <c r="AR134" s="113">
        <f t="shared" si="100"/>
        <v>0.12367811311787072</v>
      </c>
      <c r="AS134" s="113">
        <f t="shared" si="100"/>
        <v>8.9972718668225593E-2</v>
      </c>
      <c r="AT134" s="113">
        <f t="shared" si="100"/>
        <v>0.11543768204813736</v>
      </c>
      <c r="AU134" s="113">
        <f t="shared" si="100"/>
        <v>9.3313140726933835E-2</v>
      </c>
      <c r="AV134" s="113">
        <f t="shared" si="100"/>
        <v>0.11686318508012447</v>
      </c>
      <c r="AW134" s="113">
        <f t="shared" si="100"/>
        <v>9.4209271419637267E-2</v>
      </c>
      <c r="AY134" s="111" t="s">
        <v>54</v>
      </c>
      <c r="AZ134" s="179">
        <f t="shared" si="50"/>
        <v>3.9772917542237544E-2</v>
      </c>
      <c r="BA134" s="179">
        <f t="shared" si="73"/>
        <v>4.616703100158983E-2</v>
      </c>
      <c r="BB134" s="179">
        <f t="shared" si="74"/>
        <v>3.8893934153014058E-2</v>
      </c>
      <c r="BC134" s="179">
        <f t="shared" si="75"/>
        <v>3.6608721482889732E-2</v>
      </c>
      <c r="BD134" s="179">
        <f t="shared" si="76"/>
        <v>3.4189633093925725E-2</v>
      </c>
      <c r="BE134" s="179">
        <f t="shared" si="77"/>
        <v>3.7632684347692777E-2</v>
      </c>
      <c r="BF134" s="179">
        <f t="shared" si="78"/>
        <v>3.1353215284249766E-2</v>
      </c>
      <c r="BG134" s="179">
        <f t="shared" si="78"/>
        <v>3.5058955524037344E-2</v>
      </c>
      <c r="BH134" s="179">
        <f t="shared" si="78"/>
        <v>3.1842733739837391E-2</v>
      </c>
    </row>
    <row r="135" spans="2:68" s="108" customFormat="1" x14ac:dyDescent="0.25">
      <c r="B135" s="107"/>
      <c r="E135" s="109" t="s">
        <v>45</v>
      </c>
      <c r="F135" s="110" t="s">
        <v>60</v>
      </c>
      <c r="G135" s="111" t="s">
        <v>55</v>
      </c>
      <c r="H135" s="70">
        <v>27551</v>
      </c>
      <c r="I135" s="70">
        <v>25953</v>
      </c>
      <c r="J135" s="70">
        <v>30496</v>
      </c>
      <c r="K135" s="70">
        <v>34405</v>
      </c>
      <c r="L135" s="70">
        <v>39050</v>
      </c>
      <c r="M135" s="70">
        <v>36951</v>
      </c>
      <c r="N135" s="70">
        <v>43310</v>
      </c>
      <c r="O135" s="112">
        <v>45364</v>
      </c>
      <c r="P135" s="112">
        <v>49686</v>
      </c>
      <c r="R135" s="111" t="s">
        <v>55</v>
      </c>
      <c r="S135" s="81">
        <v>4.8</v>
      </c>
      <c r="T135" s="81">
        <v>7.6</v>
      </c>
      <c r="U135" s="81">
        <v>6.5</v>
      </c>
      <c r="V135" s="81">
        <v>5.3</v>
      </c>
      <c r="W135" s="81">
        <v>6.4</v>
      </c>
      <c r="X135" s="81">
        <v>6.8</v>
      </c>
      <c r="Y135" s="81">
        <v>5.4</v>
      </c>
      <c r="Z135" s="81">
        <v>6.1</v>
      </c>
      <c r="AA135" s="81">
        <v>6.4</v>
      </c>
      <c r="AB135" s="126"/>
      <c r="AC135" s="111" t="s">
        <v>55</v>
      </c>
      <c r="AD135" s="70">
        <f t="shared" si="60"/>
        <v>2644.8959999999997</v>
      </c>
      <c r="AE135" s="70">
        <f t="shared" si="87"/>
        <v>3944.8559999999998</v>
      </c>
      <c r="AF135" s="70">
        <f t="shared" si="88"/>
        <v>3964.48</v>
      </c>
      <c r="AG135" s="70">
        <f t="shared" si="89"/>
        <v>3646.93</v>
      </c>
      <c r="AH135" s="70">
        <f t="shared" si="90"/>
        <v>4998.3999999999996</v>
      </c>
      <c r="AI135" s="70">
        <f t="shared" si="91"/>
        <v>5025.3359999999993</v>
      </c>
      <c r="AJ135" s="70">
        <f t="shared" si="92"/>
        <v>4677.4800000000005</v>
      </c>
      <c r="AK135" s="70">
        <f t="shared" si="94"/>
        <v>5534.4079999999994</v>
      </c>
      <c r="AL135" s="70">
        <f t="shared" si="95"/>
        <v>6359.8080000000009</v>
      </c>
      <c r="AN135" s="111" t="s">
        <v>55</v>
      </c>
      <c r="AO135" s="113">
        <f t="shared" ref="AO135:AW135" si="101">H135/H133</f>
        <v>0.46315877952424983</v>
      </c>
      <c r="AP135" s="113">
        <f t="shared" si="101"/>
        <v>0.42979928457869632</v>
      </c>
      <c r="AQ135" s="113">
        <f t="shared" si="101"/>
        <v>0.47948177730260055</v>
      </c>
      <c r="AR135" s="113">
        <f t="shared" si="101"/>
        <v>0.51100582224334601</v>
      </c>
      <c r="AS135" s="113">
        <f t="shared" si="101"/>
        <v>0.54353877846445076</v>
      </c>
      <c r="AT135" s="113">
        <f t="shared" si="101"/>
        <v>0.47206040165567992</v>
      </c>
      <c r="AU135" s="113">
        <f t="shared" si="101"/>
        <v>0.50454333643988813</v>
      </c>
      <c r="AV135" s="113">
        <f t="shared" si="101"/>
        <v>0.48015410995152308</v>
      </c>
      <c r="AW135" s="113">
        <f t="shared" si="101"/>
        <v>0.48551829268292684</v>
      </c>
      <c r="AY135" s="111" t="s">
        <v>55</v>
      </c>
      <c r="AZ135" s="179">
        <f t="shared" si="50"/>
        <v>4.4463242834327982E-2</v>
      </c>
      <c r="BA135" s="179">
        <f t="shared" si="73"/>
        <v>6.5329491255961838E-2</v>
      </c>
      <c r="BB135" s="179">
        <f t="shared" si="74"/>
        <v>6.2332631049338075E-2</v>
      </c>
      <c r="BC135" s="179">
        <f t="shared" si="75"/>
        <v>5.4166617157794673E-2</v>
      </c>
      <c r="BD135" s="179">
        <f t="shared" si="76"/>
        <v>6.9572963643449698E-2</v>
      </c>
      <c r="BE135" s="179">
        <f t="shared" si="77"/>
        <v>6.4200214625172475E-2</v>
      </c>
      <c r="BF135" s="179">
        <f t="shared" si="78"/>
        <v>5.449068033550792E-2</v>
      </c>
      <c r="BG135" s="179">
        <f t="shared" si="78"/>
        <v>5.8578801414085814E-2</v>
      </c>
      <c r="BH135" s="179">
        <f t="shared" si="78"/>
        <v>6.2146341463414634E-2</v>
      </c>
    </row>
    <row r="136" spans="2:68" s="108" customFormat="1" x14ac:dyDescent="0.25">
      <c r="B136" s="107"/>
      <c r="E136" s="109" t="s">
        <v>45</v>
      </c>
      <c r="F136" s="110" t="s">
        <v>60</v>
      </c>
      <c r="G136" s="111" t="s">
        <v>130</v>
      </c>
      <c r="H136" s="70">
        <v>3779</v>
      </c>
      <c r="I136" s="70">
        <v>3435</v>
      </c>
      <c r="J136" s="70">
        <v>5281</v>
      </c>
      <c r="K136" s="70">
        <v>4537</v>
      </c>
      <c r="L136" s="70">
        <v>4814</v>
      </c>
      <c r="M136" s="70">
        <v>7421</v>
      </c>
      <c r="N136" s="70">
        <v>7761</v>
      </c>
      <c r="O136" s="112">
        <v>9747</v>
      </c>
      <c r="P136" s="112">
        <v>10521</v>
      </c>
      <c r="R136" s="111" t="s">
        <v>130</v>
      </c>
      <c r="S136" s="220">
        <v>24.8</v>
      </c>
      <c r="T136" s="220">
        <v>27.5</v>
      </c>
      <c r="U136" s="220">
        <v>20.2</v>
      </c>
      <c r="V136" s="220">
        <v>21.5</v>
      </c>
      <c r="W136" s="220">
        <v>26.1</v>
      </c>
      <c r="X136" s="220">
        <v>19</v>
      </c>
      <c r="Y136" s="220">
        <v>17.899999999999999</v>
      </c>
      <c r="Z136" s="220">
        <v>16.600000000000001</v>
      </c>
      <c r="AA136" s="220">
        <v>15.6</v>
      </c>
      <c r="AB136" s="126"/>
      <c r="AC136" s="111" t="s">
        <v>130</v>
      </c>
      <c r="AD136" s="70">
        <f t="shared" si="60"/>
        <v>1874.384</v>
      </c>
      <c r="AE136" s="70">
        <f t="shared" si="87"/>
        <v>1889.25</v>
      </c>
      <c r="AF136" s="70">
        <f t="shared" si="88"/>
        <v>2133.5239999999999</v>
      </c>
      <c r="AG136" s="70">
        <f t="shared" si="89"/>
        <v>1950.91</v>
      </c>
      <c r="AH136" s="70">
        <f t="shared" si="90"/>
        <v>2512.9080000000004</v>
      </c>
      <c r="AI136" s="70">
        <f t="shared" si="91"/>
        <v>2819.98</v>
      </c>
      <c r="AJ136" s="70">
        <f t="shared" si="92"/>
        <v>2778.4380000000001</v>
      </c>
      <c r="AK136" s="70">
        <f t="shared" si="94"/>
        <v>3236.0040000000004</v>
      </c>
      <c r="AL136" s="70">
        <f t="shared" si="95"/>
        <v>3282.5520000000001</v>
      </c>
      <c r="AN136" s="111" t="s">
        <v>130</v>
      </c>
      <c r="AO136" s="113">
        <f t="shared" ref="AO136:AW136" si="102">H136/H133</f>
        <v>6.3528620660670762E-2</v>
      </c>
      <c r="AP136" s="113">
        <f t="shared" si="102"/>
        <v>5.6885930047694752E-2</v>
      </c>
      <c r="AQ136" s="113">
        <f t="shared" si="102"/>
        <v>8.3031980126411123E-2</v>
      </c>
      <c r="AR136" s="113">
        <f t="shared" si="102"/>
        <v>6.7386525665399238E-2</v>
      </c>
      <c r="AS136" s="113">
        <f t="shared" si="102"/>
        <v>6.7006291409164295E-2</v>
      </c>
      <c r="AT136" s="113">
        <f t="shared" si="102"/>
        <v>9.4805559813991511E-2</v>
      </c>
      <c r="AU136" s="113">
        <f t="shared" si="102"/>
        <v>9.0412395153774458E-2</v>
      </c>
      <c r="AV136" s="113">
        <f t="shared" si="102"/>
        <v>0.10316687482800228</v>
      </c>
      <c r="AW136" s="113">
        <f t="shared" si="102"/>
        <v>0.10280839587242026</v>
      </c>
      <c r="AY136" s="111" t="s">
        <v>130</v>
      </c>
      <c r="AZ136" s="179">
        <f t="shared" si="50"/>
        <v>3.1510195847692699E-2</v>
      </c>
      <c r="BA136" s="179">
        <f t="shared" si="73"/>
        <v>3.128726152623211E-2</v>
      </c>
      <c r="BB136" s="179">
        <f t="shared" si="74"/>
        <v>3.3544919971070092E-2</v>
      </c>
      <c r="BC136" s="179">
        <f t="shared" si="75"/>
        <v>2.8976206036121673E-2</v>
      </c>
      <c r="BD136" s="179">
        <f t="shared" si="76"/>
        <v>3.4977284115583762E-2</v>
      </c>
      <c r="BE136" s="179">
        <f t="shared" si="77"/>
        <v>3.6026112729316773E-2</v>
      </c>
      <c r="BF136" s="179">
        <f t="shared" si="78"/>
        <v>3.2367637465051252E-2</v>
      </c>
      <c r="BG136" s="179">
        <f t="shared" si="78"/>
        <v>3.4251402442896761E-2</v>
      </c>
      <c r="BH136" s="179">
        <f t="shared" si="78"/>
        <v>3.2076219512195123E-2</v>
      </c>
    </row>
    <row r="137" spans="2:68" s="108" customFormat="1" x14ac:dyDescent="0.25">
      <c r="B137" s="107"/>
      <c r="E137" s="109" t="s">
        <v>45</v>
      </c>
      <c r="F137" s="110" t="s">
        <v>60</v>
      </c>
      <c r="G137" s="111" t="s">
        <v>131</v>
      </c>
      <c r="H137" s="112">
        <v>20668</v>
      </c>
      <c r="I137" s="112">
        <v>22724</v>
      </c>
      <c r="J137" s="112">
        <v>20339</v>
      </c>
      <c r="K137" s="112">
        <v>19916</v>
      </c>
      <c r="L137" s="112">
        <v>21515</v>
      </c>
      <c r="M137" s="112">
        <v>24869</v>
      </c>
      <c r="N137" s="112">
        <v>26758</v>
      </c>
      <c r="O137" s="112">
        <v>28326</v>
      </c>
      <c r="P137" s="112">
        <v>32488</v>
      </c>
      <c r="R137" s="111" t="s">
        <v>131</v>
      </c>
      <c r="S137" s="220">
        <v>7.9</v>
      </c>
      <c r="T137" s="220">
        <v>8.1</v>
      </c>
      <c r="U137" s="220">
        <v>8.6999999999999993</v>
      </c>
      <c r="V137" s="220">
        <v>8.5</v>
      </c>
      <c r="W137" s="220">
        <v>8.6999999999999993</v>
      </c>
      <c r="X137" s="220">
        <v>8.8000000000000007</v>
      </c>
      <c r="Y137" s="220">
        <v>8.1</v>
      </c>
      <c r="Z137" s="220">
        <v>8.8000000000000007</v>
      </c>
      <c r="AA137" s="220">
        <v>8</v>
      </c>
      <c r="AB137" s="126"/>
      <c r="AC137" s="111" t="s">
        <v>131</v>
      </c>
      <c r="AD137" s="112">
        <f t="shared" si="60"/>
        <v>3265.5440000000003</v>
      </c>
      <c r="AE137" s="112">
        <f t="shared" si="87"/>
        <v>3681.288</v>
      </c>
      <c r="AF137" s="112">
        <f t="shared" si="88"/>
        <v>3538.9859999999999</v>
      </c>
      <c r="AG137" s="112">
        <f t="shared" si="89"/>
        <v>3385.72</v>
      </c>
      <c r="AH137" s="112">
        <f t="shared" si="90"/>
        <v>3743.6099999999992</v>
      </c>
      <c r="AI137" s="112">
        <f t="shared" si="91"/>
        <v>4376.9440000000004</v>
      </c>
      <c r="AJ137" s="112">
        <f t="shared" si="92"/>
        <v>4334.7959999999994</v>
      </c>
      <c r="AK137" s="112">
        <f t="shared" si="94"/>
        <v>4985.3760000000002</v>
      </c>
      <c r="AL137" s="112">
        <f t="shared" si="95"/>
        <v>5198.08</v>
      </c>
      <c r="AN137" s="111" t="s">
        <v>131</v>
      </c>
      <c r="AO137" s="113">
        <f t="shared" ref="AO137:AW137" si="103">H137/H133</f>
        <v>0.34744893670673277</v>
      </c>
      <c r="AP137" s="113">
        <f t="shared" si="103"/>
        <v>0.37632485426603074</v>
      </c>
      <c r="AQ137" s="113">
        <f t="shared" si="103"/>
        <v>0.31978554133517811</v>
      </c>
      <c r="AR137" s="113">
        <f t="shared" si="103"/>
        <v>0.29580560836501901</v>
      </c>
      <c r="AS137" s="113">
        <f t="shared" si="103"/>
        <v>0.29946829241133566</v>
      </c>
      <c r="AT137" s="113">
        <f t="shared" si="103"/>
        <v>0.31770913179007615</v>
      </c>
      <c r="AU137" s="113">
        <f t="shared" si="103"/>
        <v>0.31171947809878842</v>
      </c>
      <c r="AV137" s="113">
        <f t="shared" si="103"/>
        <v>0.29981583014035013</v>
      </c>
      <c r="AW137" s="113">
        <f t="shared" si="103"/>
        <v>0.31746404002501566</v>
      </c>
      <c r="AY137" s="111" t="s">
        <v>131</v>
      </c>
      <c r="AZ137" s="179">
        <f t="shared" si="50"/>
        <v>5.4896931999663778E-2</v>
      </c>
      <c r="BA137" s="179">
        <f t="shared" si="73"/>
        <v>6.0964626391096975E-2</v>
      </c>
      <c r="BB137" s="179">
        <f t="shared" si="74"/>
        <v>5.564268419232099E-2</v>
      </c>
      <c r="BC137" s="179">
        <f t="shared" si="75"/>
        <v>5.0286953422053235E-2</v>
      </c>
      <c r="BD137" s="179">
        <f t="shared" si="76"/>
        <v>5.2107482879572398E-2</v>
      </c>
      <c r="BE137" s="179">
        <f t="shared" si="77"/>
        <v>5.591680719505341E-2</v>
      </c>
      <c r="BF137" s="179">
        <f t="shared" si="78"/>
        <v>5.049855545200372E-2</v>
      </c>
      <c r="BG137" s="179">
        <f t="shared" si="78"/>
        <v>5.2767586104701628E-2</v>
      </c>
      <c r="BH137" s="179">
        <f t="shared" si="78"/>
        <v>5.0794246404002506E-2</v>
      </c>
    </row>
    <row r="138" spans="2:68" s="87" customFormat="1" x14ac:dyDescent="0.25">
      <c r="B138" s="84"/>
      <c r="C138" s="85"/>
      <c r="D138" s="85"/>
      <c r="E138" s="109" t="s">
        <v>46</v>
      </c>
      <c r="F138" s="110" t="s">
        <v>60</v>
      </c>
      <c r="G138" s="195" t="s">
        <v>7</v>
      </c>
      <c r="H138" s="69">
        <v>461102</v>
      </c>
      <c r="I138" s="69">
        <v>460130</v>
      </c>
      <c r="J138" s="69">
        <v>448812</v>
      </c>
      <c r="K138" s="69">
        <v>442692</v>
      </c>
      <c r="L138" s="69">
        <v>445350</v>
      </c>
      <c r="M138" s="69">
        <v>444501</v>
      </c>
      <c r="N138" s="69">
        <v>452483</v>
      </c>
      <c r="O138" s="69">
        <v>457789</v>
      </c>
      <c r="P138" s="69">
        <v>459372</v>
      </c>
      <c r="R138" s="195" t="s">
        <v>7</v>
      </c>
      <c r="S138" s="226">
        <v>0.7</v>
      </c>
      <c r="T138" s="226">
        <v>0.8</v>
      </c>
      <c r="U138" s="226">
        <v>0.7</v>
      </c>
      <c r="V138" s="226">
        <v>0.7</v>
      </c>
      <c r="W138" s="226">
        <v>0.8</v>
      </c>
      <c r="X138" s="226">
        <v>0.8</v>
      </c>
      <c r="Y138" s="226">
        <v>0.8</v>
      </c>
      <c r="Z138" s="226">
        <v>0.9</v>
      </c>
      <c r="AA138" s="226">
        <v>0.8</v>
      </c>
      <c r="AB138" s="125"/>
      <c r="AC138" s="195" t="s">
        <v>7</v>
      </c>
      <c r="AD138" s="69">
        <f t="shared" si="60"/>
        <v>6455.427999999999</v>
      </c>
      <c r="AE138" s="69">
        <f t="shared" si="87"/>
        <v>7362.08</v>
      </c>
      <c r="AF138" s="69">
        <f t="shared" si="88"/>
        <v>6283.3679999999995</v>
      </c>
      <c r="AG138" s="69">
        <f t="shared" si="89"/>
        <v>6197.6879999999992</v>
      </c>
      <c r="AH138" s="69">
        <f t="shared" si="90"/>
        <v>7125.6</v>
      </c>
      <c r="AI138" s="69">
        <f t="shared" si="91"/>
        <v>7112.0160000000005</v>
      </c>
      <c r="AJ138" s="69">
        <f t="shared" si="92"/>
        <v>7239.7280000000001</v>
      </c>
      <c r="AK138" s="69">
        <f t="shared" si="94"/>
        <v>8240.2020000000011</v>
      </c>
      <c r="AL138" s="69">
        <f t="shared" si="95"/>
        <v>7349.9520000000011</v>
      </c>
      <c r="AN138" s="195" t="s">
        <v>7</v>
      </c>
      <c r="AO138" s="98">
        <f t="shared" ref="AO138:AW138" si="104">H138/H138</f>
        <v>1</v>
      </c>
      <c r="AP138" s="98">
        <f t="shared" si="104"/>
        <v>1</v>
      </c>
      <c r="AQ138" s="98">
        <f t="shared" si="104"/>
        <v>1</v>
      </c>
      <c r="AR138" s="98">
        <f t="shared" si="104"/>
        <v>1</v>
      </c>
      <c r="AS138" s="98">
        <f t="shared" si="104"/>
        <v>1</v>
      </c>
      <c r="AT138" s="98">
        <f t="shared" si="104"/>
        <v>1</v>
      </c>
      <c r="AU138" s="98">
        <f t="shared" si="104"/>
        <v>1</v>
      </c>
      <c r="AV138" s="98">
        <f t="shared" si="104"/>
        <v>1</v>
      </c>
      <c r="AW138" s="98">
        <f t="shared" si="104"/>
        <v>1</v>
      </c>
      <c r="AX138" s="191"/>
      <c r="AY138" s="195" t="s">
        <v>7</v>
      </c>
      <c r="AZ138" s="178">
        <f t="shared" si="50"/>
        <v>1.3999999999999999E-2</v>
      </c>
      <c r="BA138" s="178">
        <f t="shared" si="73"/>
        <v>1.6E-2</v>
      </c>
      <c r="BB138" s="178">
        <f t="shared" si="74"/>
        <v>1.3999999999999999E-2</v>
      </c>
      <c r="BC138" s="178">
        <f t="shared" si="75"/>
        <v>1.3999999999999999E-2</v>
      </c>
      <c r="BD138" s="178">
        <f t="shared" si="76"/>
        <v>1.6E-2</v>
      </c>
      <c r="BE138" s="178">
        <f t="shared" si="77"/>
        <v>1.6E-2</v>
      </c>
      <c r="BF138" s="178">
        <f t="shared" si="78"/>
        <v>1.6E-2</v>
      </c>
      <c r="BG138" s="178">
        <f t="shared" si="78"/>
        <v>1.8000000000000002E-2</v>
      </c>
      <c r="BH138" s="178">
        <f t="shared" si="78"/>
        <v>1.6E-2</v>
      </c>
      <c r="BI138" s="191"/>
      <c r="BJ138" s="191"/>
      <c r="BK138" s="191"/>
      <c r="BL138" s="191"/>
      <c r="BM138" s="191"/>
      <c r="BN138" s="191"/>
      <c r="BO138" s="191"/>
      <c r="BP138" s="191"/>
    </row>
    <row r="139" spans="2:68" s="108" customFormat="1" x14ac:dyDescent="0.25">
      <c r="B139" s="107"/>
      <c r="E139" s="109" t="s">
        <v>46</v>
      </c>
      <c r="F139" s="110" t="s">
        <v>60</v>
      </c>
      <c r="G139" s="111" t="s">
        <v>54</v>
      </c>
      <c r="H139" s="112">
        <v>133735</v>
      </c>
      <c r="I139" s="112">
        <v>110559</v>
      </c>
      <c r="J139" s="112">
        <v>103662</v>
      </c>
      <c r="K139" s="112">
        <v>110150</v>
      </c>
      <c r="L139" s="112">
        <v>102779</v>
      </c>
      <c r="M139" s="112">
        <v>103074</v>
      </c>
      <c r="N139" s="112">
        <v>94052</v>
      </c>
      <c r="O139" s="112">
        <v>99090</v>
      </c>
      <c r="P139" s="112">
        <v>95648</v>
      </c>
      <c r="R139" s="111" t="s">
        <v>54</v>
      </c>
      <c r="S139" s="220">
        <v>3.3</v>
      </c>
      <c r="T139" s="220">
        <v>4.2</v>
      </c>
      <c r="U139" s="220">
        <v>4</v>
      </c>
      <c r="V139" s="220">
        <v>3.8</v>
      </c>
      <c r="W139" s="220">
        <v>4.0999999999999996</v>
      </c>
      <c r="X139" s="220">
        <v>4.5</v>
      </c>
      <c r="Y139" s="220">
        <v>4.5999999999999996</v>
      </c>
      <c r="Z139" s="220">
        <v>4.8</v>
      </c>
      <c r="AA139" s="220">
        <v>4.8</v>
      </c>
      <c r="AB139" s="126"/>
      <c r="AC139" s="111" t="s">
        <v>54</v>
      </c>
      <c r="AD139" s="112">
        <f t="shared" si="60"/>
        <v>8826.51</v>
      </c>
      <c r="AE139" s="112">
        <f t="shared" si="87"/>
        <v>9286.9560000000001</v>
      </c>
      <c r="AF139" s="112">
        <f t="shared" si="88"/>
        <v>8292.9599999999991</v>
      </c>
      <c r="AG139" s="112">
        <f t="shared" si="89"/>
        <v>8371.4</v>
      </c>
      <c r="AH139" s="112">
        <f t="shared" si="90"/>
        <v>8427.8779999999988</v>
      </c>
      <c r="AI139" s="112">
        <f t="shared" si="91"/>
        <v>9276.66</v>
      </c>
      <c r="AJ139" s="112">
        <f t="shared" si="92"/>
        <v>8652.7839999999997</v>
      </c>
      <c r="AK139" s="112">
        <f t="shared" si="94"/>
        <v>9512.64</v>
      </c>
      <c r="AL139" s="112">
        <f t="shared" si="95"/>
        <v>9182.2079999999987</v>
      </c>
      <c r="AN139" s="111" t="s">
        <v>54</v>
      </c>
      <c r="AO139" s="113">
        <f t="shared" ref="AO139:AW139" si="105">H139/H138</f>
        <v>0.29003344162462968</v>
      </c>
      <c r="AP139" s="113">
        <f t="shared" si="105"/>
        <v>0.24027774759307152</v>
      </c>
      <c r="AQ139" s="113">
        <f t="shared" si="105"/>
        <v>0.23096976016684045</v>
      </c>
      <c r="AR139" s="113">
        <f t="shared" si="105"/>
        <v>0.24881859170710111</v>
      </c>
      <c r="AS139" s="113">
        <f t="shared" si="105"/>
        <v>0.2307825305939149</v>
      </c>
      <c r="AT139" s="113">
        <f t="shared" si="105"/>
        <v>0.23188699238021962</v>
      </c>
      <c r="AU139" s="113">
        <f t="shared" si="105"/>
        <v>0.20785753276918692</v>
      </c>
      <c r="AV139" s="113">
        <f t="shared" si="105"/>
        <v>0.21645343160276895</v>
      </c>
      <c r="AW139" s="113">
        <f t="shared" si="105"/>
        <v>0.20821469310275767</v>
      </c>
      <c r="AY139" s="111" t="s">
        <v>54</v>
      </c>
      <c r="AZ139" s="179">
        <f t="shared" si="50"/>
        <v>1.9142207147225559E-2</v>
      </c>
      <c r="BA139" s="179">
        <f t="shared" si="73"/>
        <v>2.0183330797818009E-2</v>
      </c>
      <c r="BB139" s="179">
        <f t="shared" si="74"/>
        <v>1.8477580813347237E-2</v>
      </c>
      <c r="BC139" s="179">
        <f t="shared" si="75"/>
        <v>1.8910212969739684E-2</v>
      </c>
      <c r="BD139" s="179">
        <f t="shared" si="76"/>
        <v>1.8924167508701021E-2</v>
      </c>
      <c r="BE139" s="179">
        <f t="shared" si="77"/>
        <v>2.0869829314219768E-2</v>
      </c>
      <c r="BF139" s="179">
        <f t="shared" si="78"/>
        <v>1.9122893014765194E-2</v>
      </c>
      <c r="BG139" s="179">
        <f t="shared" si="78"/>
        <v>2.077952943386582E-2</v>
      </c>
      <c r="BH139" s="179">
        <f t="shared" si="78"/>
        <v>1.9988610537864736E-2</v>
      </c>
    </row>
    <row r="140" spans="2:68" s="108" customFormat="1" x14ac:dyDescent="0.25">
      <c r="B140" s="107"/>
      <c r="E140" s="109" t="s">
        <v>46</v>
      </c>
      <c r="F140" s="110" t="s">
        <v>60</v>
      </c>
      <c r="G140" s="111" t="s">
        <v>55</v>
      </c>
      <c r="H140" s="70">
        <v>127172</v>
      </c>
      <c r="I140" s="70">
        <v>139216</v>
      </c>
      <c r="J140" s="70">
        <v>147518</v>
      </c>
      <c r="K140" s="70">
        <v>138065</v>
      </c>
      <c r="L140" s="70">
        <v>137688</v>
      </c>
      <c r="M140" s="70">
        <v>138489</v>
      </c>
      <c r="N140" s="70">
        <v>144513</v>
      </c>
      <c r="O140" s="112">
        <v>132523</v>
      </c>
      <c r="P140" s="112">
        <v>141230</v>
      </c>
      <c r="R140" s="111" t="s">
        <v>55</v>
      </c>
      <c r="S140" s="81">
        <v>3.3</v>
      </c>
      <c r="T140" s="81">
        <v>3.7</v>
      </c>
      <c r="U140" s="81">
        <v>3.5</v>
      </c>
      <c r="V140" s="81">
        <v>3.3</v>
      </c>
      <c r="W140" s="81">
        <v>3.6</v>
      </c>
      <c r="X140" s="81">
        <v>3.4</v>
      </c>
      <c r="Y140" s="81">
        <v>3.8</v>
      </c>
      <c r="Z140" s="81">
        <v>4.0999999999999996</v>
      </c>
      <c r="AA140" s="81">
        <v>3.9</v>
      </c>
      <c r="AB140" s="126"/>
      <c r="AC140" s="111" t="s">
        <v>55</v>
      </c>
      <c r="AD140" s="70">
        <f t="shared" si="60"/>
        <v>8393.351999999999</v>
      </c>
      <c r="AE140" s="70">
        <f t="shared" si="87"/>
        <v>10301.984</v>
      </c>
      <c r="AF140" s="70">
        <f t="shared" si="88"/>
        <v>10326.26</v>
      </c>
      <c r="AG140" s="70">
        <f t="shared" si="89"/>
        <v>9112.2900000000009</v>
      </c>
      <c r="AH140" s="70">
        <f t="shared" si="90"/>
        <v>9913.5360000000001</v>
      </c>
      <c r="AI140" s="70">
        <f t="shared" si="91"/>
        <v>9417.2520000000004</v>
      </c>
      <c r="AJ140" s="70">
        <f t="shared" si="92"/>
        <v>10982.988000000001</v>
      </c>
      <c r="AK140" s="70">
        <f t="shared" si="94"/>
        <v>10866.885999999999</v>
      </c>
      <c r="AL140" s="70">
        <f t="shared" si="95"/>
        <v>11015.94</v>
      </c>
      <c r="AN140" s="111" t="s">
        <v>55</v>
      </c>
      <c r="AO140" s="113">
        <f t="shared" ref="AO140:AW140" si="106">H140/H138</f>
        <v>0.27580014834028044</v>
      </c>
      <c r="AP140" s="113">
        <f t="shared" si="106"/>
        <v>0.30255797274683244</v>
      </c>
      <c r="AQ140" s="113">
        <f t="shared" si="106"/>
        <v>0.32868550751762432</v>
      </c>
      <c r="AR140" s="113">
        <f t="shared" si="106"/>
        <v>0.31187597697722119</v>
      </c>
      <c r="AS140" s="113">
        <f t="shared" si="106"/>
        <v>0.30916807005725833</v>
      </c>
      <c r="AT140" s="113">
        <f t="shared" si="106"/>
        <v>0.31156060391315205</v>
      </c>
      <c r="AU140" s="113">
        <f t="shared" si="106"/>
        <v>0.31937774457824936</v>
      </c>
      <c r="AV140" s="113">
        <f t="shared" si="106"/>
        <v>0.28948489369556718</v>
      </c>
      <c r="AW140" s="113">
        <f t="shared" si="106"/>
        <v>0.30744146356329949</v>
      </c>
      <c r="AY140" s="111" t="s">
        <v>55</v>
      </c>
      <c r="AZ140" s="179">
        <f t="shared" si="50"/>
        <v>1.8202809790458508E-2</v>
      </c>
      <c r="BA140" s="179">
        <f t="shared" si="73"/>
        <v>2.2389289983265601E-2</v>
      </c>
      <c r="BB140" s="179">
        <f t="shared" si="74"/>
        <v>2.3007985526233701E-2</v>
      </c>
      <c r="BC140" s="179">
        <f t="shared" si="75"/>
        <v>2.05838144804966E-2</v>
      </c>
      <c r="BD140" s="179">
        <f t="shared" si="76"/>
        <v>2.2260101044122602E-2</v>
      </c>
      <c r="BE140" s="179">
        <f t="shared" si="77"/>
        <v>2.1186121066094341E-2</v>
      </c>
      <c r="BF140" s="179">
        <f t="shared" si="78"/>
        <v>2.4272708587946949E-2</v>
      </c>
      <c r="BG140" s="179">
        <f t="shared" si="78"/>
        <v>2.3737761283036507E-2</v>
      </c>
      <c r="BH140" s="179">
        <f t="shared" si="78"/>
        <v>2.3980434157937359E-2</v>
      </c>
    </row>
    <row r="141" spans="2:68" s="108" customFormat="1" x14ac:dyDescent="0.25">
      <c r="B141" s="107"/>
      <c r="E141" s="109" t="s">
        <v>46</v>
      </c>
      <c r="F141" s="110" t="s">
        <v>60</v>
      </c>
      <c r="G141" s="111" t="s">
        <v>130</v>
      </c>
      <c r="H141" s="70">
        <v>49514</v>
      </c>
      <c r="I141" s="70">
        <v>60140</v>
      </c>
      <c r="J141" s="70">
        <v>53224</v>
      </c>
      <c r="K141" s="70">
        <v>49899</v>
      </c>
      <c r="L141" s="70">
        <v>53257</v>
      </c>
      <c r="M141" s="70">
        <v>51300</v>
      </c>
      <c r="N141" s="70">
        <v>51674</v>
      </c>
      <c r="O141" s="112">
        <v>48786</v>
      </c>
      <c r="P141" s="112">
        <v>47839</v>
      </c>
      <c r="R141" s="111" t="s">
        <v>130</v>
      </c>
      <c r="S141" s="220">
        <v>6.2</v>
      </c>
      <c r="T141" s="220">
        <v>5.8</v>
      </c>
      <c r="U141" s="220">
        <v>6</v>
      </c>
      <c r="V141" s="220">
        <v>6.1</v>
      </c>
      <c r="W141" s="220">
        <v>6.2</v>
      </c>
      <c r="X141" s="220">
        <v>6.7</v>
      </c>
      <c r="Y141" s="220">
        <v>6.5</v>
      </c>
      <c r="Z141" s="220">
        <v>7.6</v>
      </c>
      <c r="AA141" s="220">
        <v>7.4</v>
      </c>
      <c r="AB141" s="126"/>
      <c r="AC141" s="111" t="s">
        <v>130</v>
      </c>
      <c r="AD141" s="70">
        <f t="shared" si="60"/>
        <v>6139.7359999999999</v>
      </c>
      <c r="AE141" s="70">
        <f t="shared" si="87"/>
        <v>6976.24</v>
      </c>
      <c r="AF141" s="70">
        <f t="shared" si="88"/>
        <v>6386.88</v>
      </c>
      <c r="AG141" s="70">
        <f t="shared" si="89"/>
        <v>6087.677999999999</v>
      </c>
      <c r="AH141" s="70">
        <f t="shared" si="90"/>
        <v>6603.8680000000004</v>
      </c>
      <c r="AI141" s="70">
        <f t="shared" si="91"/>
        <v>6874.2</v>
      </c>
      <c r="AJ141" s="70">
        <f t="shared" si="92"/>
        <v>6717.62</v>
      </c>
      <c r="AK141" s="70">
        <f t="shared" si="94"/>
        <v>7415.4719999999998</v>
      </c>
      <c r="AL141" s="70">
        <f t="shared" si="95"/>
        <v>7080.1720000000005</v>
      </c>
      <c r="AN141" s="111" t="s">
        <v>130</v>
      </c>
      <c r="AO141" s="113">
        <f t="shared" ref="AO141:AW141" si="107">H141/H138</f>
        <v>0.10738188079860855</v>
      </c>
      <c r="AP141" s="113">
        <f t="shared" si="107"/>
        <v>0.13070219285853998</v>
      </c>
      <c r="AQ141" s="113">
        <f t="shared" si="107"/>
        <v>0.11858862953753464</v>
      </c>
      <c r="AR141" s="113">
        <f t="shared" si="107"/>
        <v>0.11271719389553007</v>
      </c>
      <c r="AS141" s="113">
        <f t="shared" si="107"/>
        <v>0.11958459638486583</v>
      </c>
      <c r="AT141" s="113">
        <f t="shared" si="107"/>
        <v>0.11541031403753872</v>
      </c>
      <c r="AU141" s="113">
        <f t="shared" si="107"/>
        <v>0.11420097550626211</v>
      </c>
      <c r="AV141" s="113">
        <f t="shared" si="107"/>
        <v>0.10656874673703387</v>
      </c>
      <c r="AW141" s="113">
        <f t="shared" si="107"/>
        <v>0.10413999982584921</v>
      </c>
      <c r="AY141" s="111" t="s">
        <v>130</v>
      </c>
      <c r="AZ141" s="179">
        <f t="shared" si="50"/>
        <v>1.3315353219027461E-2</v>
      </c>
      <c r="BA141" s="179">
        <f t="shared" si="73"/>
        <v>1.5161454371590636E-2</v>
      </c>
      <c r="BB141" s="179">
        <f t="shared" si="74"/>
        <v>1.4230635544504157E-2</v>
      </c>
      <c r="BC141" s="179">
        <f t="shared" si="75"/>
        <v>1.3751497655254668E-2</v>
      </c>
      <c r="BD141" s="179">
        <f t="shared" si="76"/>
        <v>1.4828489951723365E-2</v>
      </c>
      <c r="BE141" s="179">
        <f t="shared" si="77"/>
        <v>1.546498208103019E-2</v>
      </c>
      <c r="BF141" s="179">
        <f t="shared" si="78"/>
        <v>1.4846126815814074E-2</v>
      </c>
      <c r="BG141" s="179">
        <f t="shared" si="78"/>
        <v>1.6198449504029145E-2</v>
      </c>
      <c r="BH141" s="179">
        <f t="shared" si="78"/>
        <v>1.5412719974225685E-2</v>
      </c>
    </row>
    <row r="142" spans="2:68" s="108" customFormat="1" x14ac:dyDescent="0.25">
      <c r="B142" s="107"/>
      <c r="E142" s="109" t="s">
        <v>46</v>
      </c>
      <c r="F142" s="110" t="s">
        <v>60</v>
      </c>
      <c r="G142" s="111" t="s">
        <v>131</v>
      </c>
      <c r="H142" s="112">
        <v>150419</v>
      </c>
      <c r="I142" s="112">
        <v>148113</v>
      </c>
      <c r="J142" s="112">
        <v>143847</v>
      </c>
      <c r="K142" s="112">
        <v>143315</v>
      </c>
      <c r="L142" s="112">
        <v>150749</v>
      </c>
      <c r="M142" s="112">
        <v>150863</v>
      </c>
      <c r="N142" s="112">
        <v>160904</v>
      </c>
      <c r="O142" s="112">
        <v>177390</v>
      </c>
      <c r="P142" s="112">
        <v>174656</v>
      </c>
      <c r="R142" s="111" t="s">
        <v>131</v>
      </c>
      <c r="S142" s="220">
        <v>2.9</v>
      </c>
      <c r="T142" s="220">
        <v>3.2</v>
      </c>
      <c r="U142" s="220">
        <v>3.5</v>
      </c>
      <c r="V142" s="220">
        <v>3.3</v>
      </c>
      <c r="W142" s="220">
        <v>3.1</v>
      </c>
      <c r="X142" s="220">
        <v>2.6</v>
      </c>
      <c r="Y142" s="220">
        <v>3.1</v>
      </c>
      <c r="Z142" s="220">
        <v>3.6</v>
      </c>
      <c r="AA142" s="220">
        <v>3.4</v>
      </c>
      <c r="AB142" s="126"/>
      <c r="AC142" s="111" t="s">
        <v>131</v>
      </c>
      <c r="AD142" s="112">
        <f t="shared" si="60"/>
        <v>8724.3019999999997</v>
      </c>
      <c r="AE142" s="112">
        <f t="shared" si="87"/>
        <v>9479.232</v>
      </c>
      <c r="AF142" s="112">
        <f t="shared" si="88"/>
        <v>10069.290000000001</v>
      </c>
      <c r="AG142" s="112">
        <f t="shared" si="89"/>
        <v>9458.7900000000009</v>
      </c>
      <c r="AH142" s="112">
        <f t="shared" si="90"/>
        <v>9346.4380000000001</v>
      </c>
      <c r="AI142" s="112">
        <f t="shared" si="91"/>
        <v>7844.8760000000002</v>
      </c>
      <c r="AJ142" s="112">
        <f t="shared" si="92"/>
        <v>9976.0480000000007</v>
      </c>
      <c r="AK142" s="112">
        <f t="shared" si="94"/>
        <v>12772.08</v>
      </c>
      <c r="AL142" s="112">
        <f t="shared" si="95"/>
        <v>11876.608</v>
      </c>
      <c r="AN142" s="111" t="s">
        <v>131</v>
      </c>
      <c r="AO142" s="113">
        <f t="shared" ref="AO142:AW142" si="108">H142/H138</f>
        <v>0.32621632523823363</v>
      </c>
      <c r="AP142" s="113">
        <f t="shared" si="108"/>
        <v>0.32189381261817313</v>
      </c>
      <c r="AQ142" s="113">
        <f t="shared" si="108"/>
        <v>0.32050613619956686</v>
      </c>
      <c r="AR142" s="113">
        <f t="shared" si="108"/>
        <v>0.32373523804360593</v>
      </c>
      <c r="AS142" s="113">
        <f t="shared" si="108"/>
        <v>0.33849556528573033</v>
      </c>
      <c r="AT142" s="113">
        <f t="shared" si="108"/>
        <v>0.33939856153304493</v>
      </c>
      <c r="AU142" s="113">
        <f t="shared" si="108"/>
        <v>0.3556023099210357</v>
      </c>
      <c r="AV142" s="113">
        <f t="shared" si="108"/>
        <v>0.38749292796462997</v>
      </c>
      <c r="AW142" s="113">
        <f t="shared" si="108"/>
        <v>0.38020602039305834</v>
      </c>
      <c r="AY142" s="111" t="s">
        <v>131</v>
      </c>
      <c r="AZ142" s="179">
        <f t="shared" si="50"/>
        <v>1.8920546863817549E-2</v>
      </c>
      <c r="BA142" s="179">
        <f t="shared" si="73"/>
        <v>2.060120400756308E-2</v>
      </c>
      <c r="BB142" s="179">
        <f t="shared" si="74"/>
        <v>2.2435429533969681E-2</v>
      </c>
      <c r="BC142" s="179">
        <f t="shared" si="75"/>
        <v>2.1366525710877989E-2</v>
      </c>
      <c r="BD142" s="179">
        <f t="shared" si="76"/>
        <v>2.0986725047715281E-2</v>
      </c>
      <c r="BE142" s="179">
        <f t="shared" si="77"/>
        <v>1.7648725199718336E-2</v>
      </c>
      <c r="BF142" s="179">
        <f t="shared" si="78"/>
        <v>2.2047343215104216E-2</v>
      </c>
      <c r="BG142" s="179">
        <f t="shared" si="78"/>
        <v>2.7899490813453359E-2</v>
      </c>
      <c r="BH142" s="179">
        <f t="shared" si="78"/>
        <v>2.5854009386727966E-2</v>
      </c>
    </row>
    <row r="143" spans="2:68" s="191" customFormat="1" x14ac:dyDescent="0.25">
      <c r="B143" s="186"/>
      <c r="C143" s="195"/>
      <c r="D143" s="195"/>
      <c r="E143" s="109" t="s">
        <v>4</v>
      </c>
      <c r="F143" s="110" t="s">
        <v>60</v>
      </c>
      <c r="G143" s="195" t="s">
        <v>7</v>
      </c>
      <c r="H143" s="200">
        <v>227148</v>
      </c>
      <c r="I143" s="200">
        <v>226254</v>
      </c>
      <c r="J143" s="200">
        <v>219552</v>
      </c>
      <c r="K143" s="200">
        <v>215772</v>
      </c>
      <c r="L143" s="200">
        <v>217025</v>
      </c>
      <c r="M143" s="200">
        <v>216953</v>
      </c>
      <c r="N143" s="200">
        <v>221638</v>
      </c>
      <c r="O143" s="200">
        <v>224522</v>
      </c>
      <c r="P143" s="200">
        <v>225343</v>
      </c>
      <c r="R143" s="195" t="s">
        <v>7</v>
      </c>
      <c r="S143" s="226">
        <v>1</v>
      </c>
      <c r="T143" s="226">
        <v>1.1000000000000001</v>
      </c>
      <c r="U143" s="226">
        <v>1</v>
      </c>
      <c r="V143" s="226">
        <v>1</v>
      </c>
      <c r="W143" s="226">
        <v>1.1000000000000001</v>
      </c>
      <c r="X143" s="226">
        <v>1.2</v>
      </c>
      <c r="Y143" s="226">
        <v>1</v>
      </c>
      <c r="Z143" s="226">
        <v>1.2</v>
      </c>
      <c r="AA143" s="226">
        <v>1.2</v>
      </c>
      <c r="AB143" s="202"/>
      <c r="AC143" s="195" t="s">
        <v>7</v>
      </c>
      <c r="AD143" s="69">
        <f t="shared" si="60"/>
        <v>4542.96</v>
      </c>
      <c r="AE143" s="69">
        <f t="shared" si="87"/>
        <v>4977.5880000000006</v>
      </c>
      <c r="AF143" s="69">
        <f t="shared" si="88"/>
        <v>4391.04</v>
      </c>
      <c r="AG143" s="69">
        <f t="shared" si="89"/>
        <v>4315.4399999999996</v>
      </c>
      <c r="AH143" s="69">
        <f t="shared" si="90"/>
        <v>4774.55</v>
      </c>
      <c r="AI143" s="69">
        <f t="shared" si="91"/>
        <v>5206.8719999999994</v>
      </c>
      <c r="AJ143" s="69">
        <f t="shared" si="92"/>
        <v>4432.76</v>
      </c>
      <c r="AK143" s="69">
        <f t="shared" si="94"/>
        <v>5388.5279999999993</v>
      </c>
      <c r="AL143" s="69">
        <f t="shared" si="95"/>
        <v>5408.232</v>
      </c>
      <c r="AN143" s="195" t="s">
        <v>7</v>
      </c>
      <c r="AO143" s="177">
        <f t="shared" ref="AO143:AW143" si="109">H143/H143</f>
        <v>1</v>
      </c>
      <c r="AP143" s="177">
        <f t="shared" si="109"/>
        <v>1</v>
      </c>
      <c r="AQ143" s="177">
        <f t="shared" si="109"/>
        <v>1</v>
      </c>
      <c r="AR143" s="177">
        <f t="shared" si="109"/>
        <v>1</v>
      </c>
      <c r="AS143" s="177">
        <f t="shared" si="109"/>
        <v>1</v>
      </c>
      <c r="AT143" s="177">
        <f t="shared" si="109"/>
        <v>1</v>
      </c>
      <c r="AU143" s="177">
        <f t="shared" si="109"/>
        <v>1</v>
      </c>
      <c r="AV143" s="177">
        <f t="shared" si="109"/>
        <v>1</v>
      </c>
      <c r="AW143" s="177">
        <f t="shared" si="109"/>
        <v>1</v>
      </c>
      <c r="AY143" s="195" t="s">
        <v>7</v>
      </c>
      <c r="AZ143" s="203">
        <f t="shared" si="50"/>
        <v>0.02</v>
      </c>
      <c r="BA143" s="203">
        <f t="shared" si="73"/>
        <v>2.2000000000000002E-2</v>
      </c>
      <c r="BB143" s="203">
        <f t="shared" si="74"/>
        <v>0.02</v>
      </c>
      <c r="BC143" s="203">
        <f t="shared" si="75"/>
        <v>0.02</v>
      </c>
      <c r="BD143" s="203">
        <f t="shared" si="76"/>
        <v>2.2000000000000002E-2</v>
      </c>
      <c r="BE143" s="203">
        <f t="shared" si="77"/>
        <v>2.4E-2</v>
      </c>
      <c r="BF143" s="203">
        <f t="shared" si="78"/>
        <v>0.02</v>
      </c>
      <c r="BG143" s="203">
        <f t="shared" si="78"/>
        <v>2.4E-2</v>
      </c>
      <c r="BH143" s="203">
        <f t="shared" si="78"/>
        <v>2.4E-2</v>
      </c>
    </row>
    <row r="144" spans="2:68" s="108" customFormat="1" x14ac:dyDescent="0.25">
      <c r="B144" s="107"/>
      <c r="E144" s="109" t="s">
        <v>4</v>
      </c>
      <c r="F144" s="110" t="s">
        <v>60</v>
      </c>
      <c r="G144" s="111" t="s">
        <v>54</v>
      </c>
      <c r="H144" s="112">
        <v>69878</v>
      </c>
      <c r="I144" s="112">
        <v>60662</v>
      </c>
      <c r="J144" s="112">
        <v>51389</v>
      </c>
      <c r="K144" s="112">
        <v>60487</v>
      </c>
      <c r="L144" s="112">
        <v>55987</v>
      </c>
      <c r="M144" s="112">
        <v>58554</v>
      </c>
      <c r="N144" s="112">
        <v>52033</v>
      </c>
      <c r="O144" s="112">
        <v>53186</v>
      </c>
      <c r="P144" s="112">
        <v>54543</v>
      </c>
      <c r="R144" s="111" t="s">
        <v>54</v>
      </c>
      <c r="S144" s="220">
        <v>4.7</v>
      </c>
      <c r="T144" s="220">
        <v>5.5</v>
      </c>
      <c r="U144" s="220">
        <v>5.7</v>
      </c>
      <c r="V144" s="220">
        <v>4.9000000000000004</v>
      </c>
      <c r="W144" s="220">
        <v>5.6</v>
      </c>
      <c r="X144" s="220">
        <v>5.8</v>
      </c>
      <c r="Y144" s="220">
        <v>6.2</v>
      </c>
      <c r="Z144" s="220">
        <v>7</v>
      </c>
      <c r="AA144" s="220">
        <v>6.6</v>
      </c>
      <c r="AB144" s="126"/>
      <c r="AC144" s="111" t="s">
        <v>54</v>
      </c>
      <c r="AD144" s="112">
        <f t="shared" si="60"/>
        <v>6568.5320000000011</v>
      </c>
      <c r="AE144" s="112">
        <f t="shared" si="87"/>
        <v>6672.82</v>
      </c>
      <c r="AF144" s="112">
        <f t="shared" si="88"/>
        <v>5858.3459999999995</v>
      </c>
      <c r="AG144" s="112">
        <f t="shared" si="89"/>
        <v>5927.7260000000006</v>
      </c>
      <c r="AH144" s="112">
        <f t="shared" si="90"/>
        <v>6270.543999999999</v>
      </c>
      <c r="AI144" s="112">
        <f t="shared" si="91"/>
        <v>6792.2640000000001</v>
      </c>
      <c r="AJ144" s="112">
        <f t="shared" si="92"/>
        <v>6452.0920000000006</v>
      </c>
      <c r="AK144" s="112">
        <f t="shared" si="94"/>
        <v>7446.04</v>
      </c>
      <c r="AL144" s="112">
        <f t="shared" si="95"/>
        <v>7199.6759999999995</v>
      </c>
      <c r="AN144" s="111" t="s">
        <v>54</v>
      </c>
      <c r="AO144" s="113">
        <f t="shared" ref="AO144:AW144" si="110">H144/H143</f>
        <v>0.30763202845721732</v>
      </c>
      <c r="AP144" s="113">
        <f t="shared" si="110"/>
        <v>0.26811459686900563</v>
      </c>
      <c r="AQ144" s="113">
        <f t="shared" si="110"/>
        <v>0.23406300102025943</v>
      </c>
      <c r="AR144" s="113">
        <f t="shared" si="110"/>
        <v>0.28032830951189219</v>
      </c>
      <c r="AS144" s="113">
        <f t="shared" si="110"/>
        <v>0.2579748876857505</v>
      </c>
      <c r="AT144" s="113">
        <f t="shared" si="110"/>
        <v>0.26989255737417783</v>
      </c>
      <c r="AU144" s="113">
        <f t="shared" si="110"/>
        <v>0.23476569902273076</v>
      </c>
      <c r="AV144" s="113">
        <f t="shared" si="110"/>
        <v>0.23688547224770848</v>
      </c>
      <c r="AW144" s="113">
        <f t="shared" si="110"/>
        <v>0.24204435016840994</v>
      </c>
      <c r="AY144" s="111" t="s">
        <v>54</v>
      </c>
      <c r="AZ144" s="204">
        <f t="shared" si="50"/>
        <v>2.8917410674978428E-2</v>
      </c>
      <c r="BA144" s="204">
        <f t="shared" si="73"/>
        <v>2.9492605655590622E-2</v>
      </c>
      <c r="BB144" s="204">
        <f t="shared" si="74"/>
        <v>2.6683182116309573E-2</v>
      </c>
      <c r="BC144" s="204">
        <f t="shared" si="75"/>
        <v>2.7472174332165436E-2</v>
      </c>
      <c r="BD144" s="204">
        <f t="shared" si="76"/>
        <v>2.8893187420804056E-2</v>
      </c>
      <c r="BE144" s="204">
        <f t="shared" si="77"/>
        <v>3.1307536655404623E-2</v>
      </c>
      <c r="BF144" s="204">
        <f t="shared" si="78"/>
        <v>2.9110946678818618E-2</v>
      </c>
      <c r="BG144" s="204">
        <f t="shared" si="78"/>
        <v>3.3163966114679186E-2</v>
      </c>
      <c r="BH144" s="204">
        <f t="shared" si="78"/>
        <v>3.1949854222230109E-2</v>
      </c>
    </row>
    <row r="145" spans="2:68" s="108" customFormat="1" x14ac:dyDescent="0.25">
      <c r="B145" s="107"/>
      <c r="E145" s="109" t="s">
        <v>4</v>
      </c>
      <c r="F145" s="110" t="s">
        <v>60</v>
      </c>
      <c r="G145" s="111" t="s">
        <v>55</v>
      </c>
      <c r="H145" s="205">
        <v>75545</v>
      </c>
      <c r="I145" s="205">
        <v>81630</v>
      </c>
      <c r="J145" s="205">
        <v>82850</v>
      </c>
      <c r="K145" s="205">
        <v>76410</v>
      </c>
      <c r="L145" s="205">
        <v>71830</v>
      </c>
      <c r="M145" s="205">
        <v>76276</v>
      </c>
      <c r="N145" s="205">
        <v>74599</v>
      </c>
      <c r="O145" s="112">
        <v>74339</v>
      </c>
      <c r="P145" s="112">
        <v>72879</v>
      </c>
      <c r="R145" s="111" t="s">
        <v>55</v>
      </c>
      <c r="S145" s="81">
        <v>4.3</v>
      </c>
      <c r="T145" s="81">
        <v>4.5999999999999996</v>
      </c>
      <c r="U145" s="81">
        <v>4.5999999999999996</v>
      </c>
      <c r="V145" s="81">
        <v>4.5999999999999996</v>
      </c>
      <c r="W145" s="81">
        <v>5.0999999999999996</v>
      </c>
      <c r="X145" s="81">
        <v>5.5</v>
      </c>
      <c r="Y145" s="81">
        <v>5.4</v>
      </c>
      <c r="Z145" s="81">
        <v>5.8</v>
      </c>
      <c r="AA145" s="81">
        <v>5.2</v>
      </c>
      <c r="AB145" s="126"/>
      <c r="AC145" s="111" t="s">
        <v>55</v>
      </c>
      <c r="AD145" s="70">
        <f t="shared" si="60"/>
        <v>6496.87</v>
      </c>
      <c r="AE145" s="70">
        <f t="shared" si="87"/>
        <v>7509.96</v>
      </c>
      <c r="AF145" s="70">
        <f t="shared" si="88"/>
        <v>7622.1999999999989</v>
      </c>
      <c r="AG145" s="70">
        <f t="shared" si="89"/>
        <v>7029.72</v>
      </c>
      <c r="AH145" s="70">
        <f t="shared" si="90"/>
        <v>7326.66</v>
      </c>
      <c r="AI145" s="70">
        <f t="shared" si="91"/>
        <v>8390.36</v>
      </c>
      <c r="AJ145" s="70">
        <f t="shared" si="92"/>
        <v>8056.6920000000009</v>
      </c>
      <c r="AK145" s="70">
        <f t="shared" si="94"/>
        <v>8623.3240000000005</v>
      </c>
      <c r="AL145" s="70">
        <f t="shared" si="95"/>
        <v>7579.4160000000002</v>
      </c>
      <c r="AN145" s="111" t="s">
        <v>55</v>
      </c>
      <c r="AO145" s="113">
        <f t="shared" ref="AO145:AW145" si="111">H145/H143</f>
        <v>0.33258052018947998</v>
      </c>
      <c r="AP145" s="113">
        <f t="shared" si="111"/>
        <v>0.36078920151687927</v>
      </c>
      <c r="AQ145" s="113">
        <f t="shared" si="111"/>
        <v>0.37735934994898701</v>
      </c>
      <c r="AR145" s="113">
        <f t="shared" si="111"/>
        <v>0.3541237973416384</v>
      </c>
      <c r="AS145" s="113">
        <f t="shared" si="111"/>
        <v>0.33097569404446492</v>
      </c>
      <c r="AT145" s="113">
        <f t="shared" si="111"/>
        <v>0.35157845247588188</v>
      </c>
      <c r="AU145" s="113">
        <f t="shared" si="111"/>
        <v>0.33658036979218364</v>
      </c>
      <c r="AV145" s="113">
        <f t="shared" si="111"/>
        <v>0.33109895689509267</v>
      </c>
      <c r="AW145" s="113">
        <f t="shared" si="111"/>
        <v>0.32341364053908928</v>
      </c>
      <c r="AY145" s="111" t="s">
        <v>55</v>
      </c>
      <c r="AZ145" s="204">
        <f t="shared" si="50"/>
        <v>2.8601924736295276E-2</v>
      </c>
      <c r="BA145" s="204">
        <f t="shared" si="73"/>
        <v>3.3192606539552888E-2</v>
      </c>
      <c r="BB145" s="204">
        <f t="shared" si="74"/>
        <v>3.4717060195306806E-2</v>
      </c>
      <c r="BC145" s="204">
        <f t="shared" si="75"/>
        <v>3.2579389355430727E-2</v>
      </c>
      <c r="BD145" s="204">
        <f t="shared" si="76"/>
        <v>3.375952079253542E-2</v>
      </c>
      <c r="BE145" s="204">
        <f t="shared" si="77"/>
        <v>3.8673629772347007E-2</v>
      </c>
      <c r="BF145" s="204">
        <f t="shared" si="78"/>
        <v>3.6350679937555835E-2</v>
      </c>
      <c r="BG145" s="204">
        <f t="shared" si="78"/>
        <v>3.8407478999830748E-2</v>
      </c>
      <c r="BH145" s="204">
        <f t="shared" si="78"/>
        <v>3.3635018616065285E-2</v>
      </c>
    </row>
    <row r="146" spans="2:68" s="108" customFormat="1" x14ac:dyDescent="0.25">
      <c r="B146" s="107"/>
      <c r="E146" s="109" t="s">
        <v>4</v>
      </c>
      <c r="F146" s="110" t="s">
        <v>60</v>
      </c>
      <c r="G146" s="111" t="s">
        <v>130</v>
      </c>
      <c r="H146" s="205">
        <v>20515</v>
      </c>
      <c r="I146" s="205">
        <v>25356</v>
      </c>
      <c r="J146" s="205">
        <v>24558</v>
      </c>
      <c r="K146" s="205">
        <v>21453</v>
      </c>
      <c r="L146" s="205">
        <v>27428</v>
      </c>
      <c r="M146" s="205">
        <v>22676</v>
      </c>
      <c r="N146" s="205">
        <v>25716</v>
      </c>
      <c r="O146" s="112">
        <v>21422</v>
      </c>
      <c r="P146" s="112">
        <v>22698</v>
      </c>
      <c r="R146" s="111" t="s">
        <v>130</v>
      </c>
      <c r="S146" s="220">
        <v>9.6</v>
      </c>
      <c r="T146" s="220">
        <v>8.5</v>
      </c>
      <c r="U146" s="220">
        <v>9</v>
      </c>
      <c r="V146" s="220">
        <v>9.4</v>
      </c>
      <c r="W146" s="220">
        <v>9</v>
      </c>
      <c r="X146" s="220">
        <v>10.7</v>
      </c>
      <c r="Y146" s="220">
        <v>9.5</v>
      </c>
      <c r="Z146" s="220">
        <v>11.3</v>
      </c>
      <c r="AA146" s="220">
        <v>10.5</v>
      </c>
      <c r="AB146" s="126"/>
      <c r="AC146" s="111" t="s">
        <v>130</v>
      </c>
      <c r="AD146" s="70">
        <f t="shared" si="60"/>
        <v>3938.88</v>
      </c>
      <c r="AE146" s="70">
        <f t="shared" si="87"/>
        <v>4310.5200000000004</v>
      </c>
      <c r="AF146" s="70">
        <f t="shared" si="88"/>
        <v>4420.4399999999996</v>
      </c>
      <c r="AG146" s="70">
        <f t="shared" si="89"/>
        <v>4033.1640000000002</v>
      </c>
      <c r="AH146" s="70">
        <f t="shared" si="90"/>
        <v>4937.04</v>
      </c>
      <c r="AI146" s="70">
        <f t="shared" si="91"/>
        <v>4852.6639999999998</v>
      </c>
      <c r="AJ146" s="70">
        <f t="shared" si="92"/>
        <v>4886.04</v>
      </c>
      <c r="AK146" s="70">
        <f t="shared" si="94"/>
        <v>4841.3720000000003</v>
      </c>
      <c r="AL146" s="70">
        <f t="shared" si="95"/>
        <v>4766.58</v>
      </c>
      <c r="AN146" s="111" t="s">
        <v>130</v>
      </c>
      <c r="AO146" s="113">
        <f t="shared" ref="AO146:AW146" si="112">H146/H143</f>
        <v>9.0315565182171972E-2</v>
      </c>
      <c r="AP146" s="113">
        <f t="shared" si="112"/>
        <v>0.11206873690630884</v>
      </c>
      <c r="AQ146" s="113">
        <f t="shared" si="112"/>
        <v>0.11185505028421514</v>
      </c>
      <c r="AR146" s="113">
        <f t="shared" si="112"/>
        <v>9.942439241421501E-2</v>
      </c>
      <c r="AS146" s="113">
        <f t="shared" si="112"/>
        <v>0.12638175325423337</v>
      </c>
      <c r="AT146" s="113">
        <f t="shared" si="112"/>
        <v>0.10452033389720354</v>
      </c>
      <c r="AU146" s="113">
        <f t="shared" si="112"/>
        <v>0.11602703507521274</v>
      </c>
      <c r="AV146" s="113">
        <f t="shared" si="112"/>
        <v>9.5411585501643498E-2</v>
      </c>
      <c r="AW146" s="113">
        <f t="shared" si="112"/>
        <v>0.10072644812574609</v>
      </c>
      <c r="AY146" s="111" t="s">
        <v>130</v>
      </c>
      <c r="AZ146" s="204">
        <f t="shared" si="50"/>
        <v>1.7340588514977016E-2</v>
      </c>
      <c r="BA146" s="204">
        <f t="shared" si="73"/>
        <v>1.9051685274072503E-2</v>
      </c>
      <c r="BB146" s="204">
        <f t="shared" si="74"/>
        <v>2.0133909051158722E-2</v>
      </c>
      <c r="BC146" s="204">
        <f t="shared" si="75"/>
        <v>1.8691785773872423E-2</v>
      </c>
      <c r="BD146" s="204">
        <f t="shared" si="76"/>
        <v>2.2748715585762004E-2</v>
      </c>
      <c r="BE146" s="204">
        <f t="shared" si="77"/>
        <v>2.2367351454001559E-2</v>
      </c>
      <c r="BF146" s="204">
        <f t="shared" si="78"/>
        <v>2.2045136664290421E-2</v>
      </c>
      <c r="BG146" s="204">
        <f t="shared" si="78"/>
        <v>2.1563018323371434E-2</v>
      </c>
      <c r="BH146" s="204">
        <f t="shared" si="78"/>
        <v>2.1152554106406679E-2</v>
      </c>
    </row>
    <row r="147" spans="2:68" s="108" customFormat="1" x14ac:dyDescent="0.25">
      <c r="B147" s="107"/>
      <c r="E147" s="109" t="s">
        <v>4</v>
      </c>
      <c r="F147" s="110" t="s">
        <v>60</v>
      </c>
      <c r="G147" s="111" t="s">
        <v>131</v>
      </c>
      <c r="H147" s="112">
        <v>60948</v>
      </c>
      <c r="I147" s="112">
        <v>57199</v>
      </c>
      <c r="J147" s="112">
        <v>60489</v>
      </c>
      <c r="K147" s="112">
        <v>56793</v>
      </c>
      <c r="L147" s="112">
        <v>61353</v>
      </c>
      <c r="M147" s="112">
        <v>59204</v>
      </c>
      <c r="N147" s="112">
        <v>68497</v>
      </c>
      <c r="O147" s="112">
        <v>75575</v>
      </c>
      <c r="P147" s="112">
        <v>75224</v>
      </c>
      <c r="R147" s="111" t="s">
        <v>131</v>
      </c>
      <c r="S147" s="220">
        <v>5.0999999999999996</v>
      </c>
      <c r="T147" s="220">
        <v>5.9</v>
      </c>
      <c r="U147" s="220">
        <v>5.2</v>
      </c>
      <c r="V147" s="220">
        <v>4.9000000000000004</v>
      </c>
      <c r="W147" s="220">
        <v>5.3</v>
      </c>
      <c r="X147" s="220">
        <v>5.8</v>
      </c>
      <c r="Y147" s="220">
        <v>5</v>
      </c>
      <c r="Z147" s="220">
        <v>5.8</v>
      </c>
      <c r="AA147" s="220">
        <v>5</v>
      </c>
      <c r="AB147" s="126"/>
      <c r="AC147" s="111" t="s">
        <v>131</v>
      </c>
      <c r="AD147" s="112">
        <f t="shared" si="60"/>
        <v>6216.6959999999999</v>
      </c>
      <c r="AE147" s="112">
        <f t="shared" si="87"/>
        <v>6749.4820000000009</v>
      </c>
      <c r="AF147" s="112">
        <f t="shared" si="88"/>
        <v>6290.8559999999998</v>
      </c>
      <c r="AG147" s="112">
        <f t="shared" si="89"/>
        <v>5565.7139999999999</v>
      </c>
      <c r="AH147" s="112">
        <f t="shared" si="90"/>
        <v>6503.4179999999997</v>
      </c>
      <c r="AI147" s="112">
        <f t="shared" si="91"/>
        <v>6867.6640000000007</v>
      </c>
      <c r="AJ147" s="112">
        <f t="shared" si="92"/>
        <v>6849.7</v>
      </c>
      <c r="AK147" s="112">
        <f t="shared" si="94"/>
        <v>8766.7000000000007</v>
      </c>
      <c r="AL147" s="112">
        <f t="shared" si="95"/>
        <v>7522.4</v>
      </c>
      <c r="AN147" s="111" t="s">
        <v>131</v>
      </c>
      <c r="AO147" s="113">
        <f t="shared" ref="AO147:AW147" si="113">H147/H143</f>
        <v>0.26831845316709813</v>
      </c>
      <c r="AP147" s="113">
        <f t="shared" si="113"/>
        <v>0.25280879012083762</v>
      </c>
      <c r="AQ147" s="113">
        <f t="shared" si="113"/>
        <v>0.27551104066462617</v>
      </c>
      <c r="AR147" s="113">
        <f t="shared" si="113"/>
        <v>0.26320838663033203</v>
      </c>
      <c r="AS147" s="113">
        <f t="shared" si="113"/>
        <v>0.28270014975233271</v>
      </c>
      <c r="AT147" s="113">
        <f t="shared" si="113"/>
        <v>0.27288859799127002</v>
      </c>
      <c r="AU147" s="113">
        <f t="shared" si="113"/>
        <v>0.30904898979416889</v>
      </c>
      <c r="AV147" s="113">
        <f t="shared" si="113"/>
        <v>0.33660398535555536</v>
      </c>
      <c r="AW147" s="113">
        <f t="shared" si="113"/>
        <v>0.33381999884620334</v>
      </c>
      <c r="AY147" s="111" t="s">
        <v>131</v>
      </c>
      <c r="AZ147" s="204">
        <f t="shared" si="50"/>
        <v>2.736848222304401E-2</v>
      </c>
      <c r="BA147" s="204">
        <f t="shared" si="73"/>
        <v>2.983143723425884E-2</v>
      </c>
      <c r="BB147" s="204">
        <f t="shared" si="74"/>
        <v>2.8653148229121125E-2</v>
      </c>
      <c r="BC147" s="204">
        <f t="shared" si="75"/>
        <v>2.5794421889772542E-2</v>
      </c>
      <c r="BD147" s="204">
        <f t="shared" si="76"/>
        <v>2.9966215873747263E-2</v>
      </c>
      <c r="BE147" s="204">
        <f t="shared" si="77"/>
        <v>3.1655077366987319E-2</v>
      </c>
      <c r="BF147" s="204">
        <f t="shared" si="78"/>
        <v>3.0904898979416888E-2</v>
      </c>
      <c r="BG147" s="204">
        <f t="shared" si="78"/>
        <v>3.9046062301244418E-2</v>
      </c>
      <c r="BH147" s="204">
        <f t="shared" si="78"/>
        <v>3.3381999884620338E-2</v>
      </c>
    </row>
    <row r="148" spans="2:68" s="191" customFormat="1" x14ac:dyDescent="0.25">
      <c r="B148" s="186"/>
      <c r="C148" s="195"/>
      <c r="D148" s="195"/>
      <c r="E148" s="109" t="s">
        <v>5</v>
      </c>
      <c r="F148" s="110" t="s">
        <v>60</v>
      </c>
      <c r="G148" s="195" t="s">
        <v>7</v>
      </c>
      <c r="H148" s="200">
        <v>233954</v>
      </c>
      <c r="I148" s="200">
        <v>233876</v>
      </c>
      <c r="J148" s="200">
        <v>229260</v>
      </c>
      <c r="K148" s="200">
        <v>226920</v>
      </c>
      <c r="L148" s="200">
        <v>228325</v>
      </c>
      <c r="M148" s="200">
        <v>227548</v>
      </c>
      <c r="N148" s="200">
        <v>230845</v>
      </c>
      <c r="O148" s="200">
        <v>233267</v>
      </c>
      <c r="P148" s="200">
        <v>234029</v>
      </c>
      <c r="R148" s="195" t="s">
        <v>7</v>
      </c>
      <c r="S148" s="226">
        <v>1</v>
      </c>
      <c r="T148" s="226">
        <v>1.1000000000000001</v>
      </c>
      <c r="U148" s="226">
        <v>1</v>
      </c>
      <c r="V148" s="226">
        <v>1</v>
      </c>
      <c r="W148" s="226">
        <v>1.1000000000000001</v>
      </c>
      <c r="X148" s="226">
        <v>1.2</v>
      </c>
      <c r="Y148" s="226">
        <v>1</v>
      </c>
      <c r="Z148" s="226">
        <v>1.2</v>
      </c>
      <c r="AA148" s="226">
        <v>1.2</v>
      </c>
      <c r="AB148" s="202"/>
      <c r="AC148" s="195" t="s">
        <v>7</v>
      </c>
      <c r="AD148" s="69">
        <f t="shared" si="60"/>
        <v>4679.08</v>
      </c>
      <c r="AE148" s="69">
        <f t="shared" si="87"/>
        <v>5145.2720000000008</v>
      </c>
      <c r="AF148" s="69">
        <f t="shared" si="88"/>
        <v>4585.2</v>
      </c>
      <c r="AG148" s="69">
        <f t="shared" si="89"/>
        <v>4538.3999999999996</v>
      </c>
      <c r="AH148" s="69">
        <f t="shared" si="90"/>
        <v>5023.1500000000005</v>
      </c>
      <c r="AI148" s="69">
        <f t="shared" si="91"/>
        <v>5461.1519999999991</v>
      </c>
      <c r="AJ148" s="69">
        <f t="shared" si="92"/>
        <v>4616.8999999999996</v>
      </c>
      <c r="AK148" s="69">
        <f t="shared" si="94"/>
        <v>5598.4079999999994</v>
      </c>
      <c r="AL148" s="69">
        <f t="shared" si="95"/>
        <v>5616.6959999999999</v>
      </c>
      <c r="AN148" s="195" t="s">
        <v>7</v>
      </c>
      <c r="AO148" s="177">
        <f t="shared" ref="AO148:AW148" si="114">H148/H148</f>
        <v>1</v>
      </c>
      <c r="AP148" s="177">
        <f t="shared" si="114"/>
        <v>1</v>
      </c>
      <c r="AQ148" s="177">
        <f t="shared" si="114"/>
        <v>1</v>
      </c>
      <c r="AR148" s="177">
        <f t="shared" si="114"/>
        <v>1</v>
      </c>
      <c r="AS148" s="177">
        <f t="shared" si="114"/>
        <v>1</v>
      </c>
      <c r="AT148" s="177">
        <f t="shared" si="114"/>
        <v>1</v>
      </c>
      <c r="AU148" s="177">
        <f t="shared" si="114"/>
        <v>1</v>
      </c>
      <c r="AV148" s="177">
        <f t="shared" si="114"/>
        <v>1</v>
      </c>
      <c r="AW148" s="177">
        <f t="shared" si="114"/>
        <v>1</v>
      </c>
      <c r="AY148" s="195" t="s">
        <v>7</v>
      </c>
      <c r="AZ148" s="203">
        <f t="shared" si="50"/>
        <v>0.02</v>
      </c>
      <c r="BA148" s="203">
        <f t="shared" si="73"/>
        <v>2.2000000000000002E-2</v>
      </c>
      <c r="BB148" s="203">
        <f t="shared" si="74"/>
        <v>0.02</v>
      </c>
      <c r="BC148" s="203">
        <f t="shared" si="75"/>
        <v>0.02</v>
      </c>
      <c r="BD148" s="203">
        <f t="shared" si="76"/>
        <v>2.2000000000000002E-2</v>
      </c>
      <c r="BE148" s="203">
        <f t="shared" si="77"/>
        <v>2.4E-2</v>
      </c>
      <c r="BF148" s="203">
        <f t="shared" si="78"/>
        <v>0.02</v>
      </c>
      <c r="BG148" s="203">
        <f t="shared" si="78"/>
        <v>2.4E-2</v>
      </c>
      <c r="BH148" s="203">
        <f t="shared" si="78"/>
        <v>2.4E-2</v>
      </c>
    </row>
    <row r="149" spans="2:68" s="108" customFormat="1" x14ac:dyDescent="0.25">
      <c r="B149" s="107"/>
      <c r="E149" s="109" t="s">
        <v>5</v>
      </c>
      <c r="F149" s="110" t="s">
        <v>60</v>
      </c>
      <c r="G149" s="111" t="s">
        <v>54</v>
      </c>
      <c r="H149" s="112">
        <v>63857</v>
      </c>
      <c r="I149" s="112">
        <v>49897</v>
      </c>
      <c r="J149" s="112">
        <v>52273</v>
      </c>
      <c r="K149" s="112">
        <v>49663</v>
      </c>
      <c r="L149" s="112">
        <v>46792</v>
      </c>
      <c r="M149" s="112">
        <v>44520</v>
      </c>
      <c r="N149" s="112">
        <v>42019</v>
      </c>
      <c r="O149" s="112">
        <v>45904</v>
      </c>
      <c r="P149" s="112">
        <v>41105</v>
      </c>
      <c r="R149" s="111" t="s">
        <v>54</v>
      </c>
      <c r="S149" s="220">
        <v>4.9000000000000004</v>
      </c>
      <c r="T149" s="220">
        <v>6.3</v>
      </c>
      <c r="U149" s="220">
        <v>5.8</v>
      </c>
      <c r="V149" s="220">
        <v>5.9</v>
      </c>
      <c r="W149" s="220">
        <v>6</v>
      </c>
      <c r="X149" s="220">
        <v>6.9</v>
      </c>
      <c r="Y149" s="220">
        <v>7.1</v>
      </c>
      <c r="Z149" s="220">
        <v>7.6</v>
      </c>
      <c r="AA149" s="220">
        <v>7.6</v>
      </c>
      <c r="AB149" s="126"/>
      <c r="AC149" s="111" t="s">
        <v>54</v>
      </c>
      <c r="AD149" s="112">
        <f t="shared" si="60"/>
        <v>6257.9860000000008</v>
      </c>
      <c r="AE149" s="112">
        <f t="shared" si="87"/>
        <v>6287.0219999999999</v>
      </c>
      <c r="AF149" s="112">
        <f t="shared" si="88"/>
        <v>6063.6679999999997</v>
      </c>
      <c r="AG149" s="112">
        <f t="shared" si="89"/>
        <v>5860.2340000000004</v>
      </c>
      <c r="AH149" s="112">
        <f t="shared" si="90"/>
        <v>5615.04</v>
      </c>
      <c r="AI149" s="112">
        <f t="shared" si="91"/>
        <v>6143.76</v>
      </c>
      <c r="AJ149" s="112">
        <f t="shared" si="92"/>
        <v>5966.6979999999994</v>
      </c>
      <c r="AK149" s="112">
        <f t="shared" si="94"/>
        <v>6977.4079999999994</v>
      </c>
      <c r="AL149" s="112">
        <f t="shared" si="95"/>
        <v>6247.96</v>
      </c>
      <c r="AN149" s="111" t="s">
        <v>54</v>
      </c>
      <c r="AO149" s="113">
        <f t="shared" ref="AO149:AW149" si="115">H149/H148</f>
        <v>0.27294681860536685</v>
      </c>
      <c r="AP149" s="113">
        <f t="shared" si="115"/>
        <v>0.21334809899262858</v>
      </c>
      <c r="AQ149" s="113">
        <f t="shared" si="115"/>
        <v>0.22800750239902295</v>
      </c>
      <c r="AR149" s="113">
        <f t="shared" si="115"/>
        <v>0.21885686585580821</v>
      </c>
      <c r="AS149" s="113">
        <f t="shared" si="115"/>
        <v>0.20493594656739297</v>
      </c>
      <c r="AT149" s="113">
        <f t="shared" si="115"/>
        <v>0.19565102747552165</v>
      </c>
      <c r="AU149" s="113">
        <f t="shared" si="115"/>
        <v>0.18202256925642749</v>
      </c>
      <c r="AV149" s="113">
        <f t="shared" si="115"/>
        <v>0.19678737241015659</v>
      </c>
      <c r="AW149" s="113">
        <f t="shared" si="115"/>
        <v>0.17564062573441752</v>
      </c>
      <c r="AY149" s="111" t="s">
        <v>54</v>
      </c>
      <c r="AZ149" s="204">
        <f t="shared" si="50"/>
        <v>2.6748788223325954E-2</v>
      </c>
      <c r="BA149" s="204">
        <f t="shared" si="73"/>
        <v>2.6881860473071201E-2</v>
      </c>
      <c r="BB149" s="204">
        <f t="shared" si="74"/>
        <v>2.6448870278286664E-2</v>
      </c>
      <c r="BC149" s="204">
        <f t="shared" si="75"/>
        <v>2.582511017098537E-2</v>
      </c>
      <c r="BD149" s="204">
        <f t="shared" si="76"/>
        <v>2.4592313588087156E-2</v>
      </c>
      <c r="BE149" s="204">
        <f t="shared" si="77"/>
        <v>2.699984179162199E-2</v>
      </c>
      <c r="BF149" s="204">
        <f t="shared" si="78"/>
        <v>2.5847204834412701E-2</v>
      </c>
      <c r="BG149" s="204">
        <f t="shared" si="78"/>
        <v>2.9911680606343801E-2</v>
      </c>
      <c r="BH149" s="204">
        <f t="shared" si="78"/>
        <v>2.669737511163146E-2</v>
      </c>
    </row>
    <row r="150" spans="2:68" s="108" customFormat="1" x14ac:dyDescent="0.25">
      <c r="B150" s="107"/>
      <c r="E150" s="109" t="s">
        <v>5</v>
      </c>
      <c r="F150" s="110" t="s">
        <v>60</v>
      </c>
      <c r="G150" s="111" t="s">
        <v>55</v>
      </c>
      <c r="H150" s="205">
        <v>51627</v>
      </c>
      <c r="I150" s="205">
        <v>57586</v>
      </c>
      <c r="J150" s="205">
        <v>64668</v>
      </c>
      <c r="K150" s="205">
        <v>61655</v>
      </c>
      <c r="L150" s="205">
        <v>65858</v>
      </c>
      <c r="M150" s="205">
        <v>62213</v>
      </c>
      <c r="N150" s="205">
        <v>69914</v>
      </c>
      <c r="O150" s="112">
        <v>58184</v>
      </c>
      <c r="P150" s="112">
        <v>68351</v>
      </c>
      <c r="R150" s="111" t="s">
        <v>55</v>
      </c>
      <c r="S150" s="81">
        <v>5.6</v>
      </c>
      <c r="T150" s="81">
        <v>5.9</v>
      </c>
      <c r="U150" s="81">
        <v>5.5</v>
      </c>
      <c r="V150" s="81">
        <v>5.2</v>
      </c>
      <c r="W150" s="81">
        <v>5.4</v>
      </c>
      <c r="X150" s="81">
        <v>6.1</v>
      </c>
      <c r="Y150" s="81">
        <v>5.7</v>
      </c>
      <c r="Z150" s="81">
        <v>6.7</v>
      </c>
      <c r="AA150" s="81">
        <v>5.6</v>
      </c>
      <c r="AB150" s="126"/>
      <c r="AC150" s="111" t="s">
        <v>55</v>
      </c>
      <c r="AD150" s="70">
        <f t="shared" si="60"/>
        <v>5782.2239999999993</v>
      </c>
      <c r="AE150" s="70">
        <f t="shared" si="87"/>
        <v>6795.1480000000001</v>
      </c>
      <c r="AF150" s="70">
        <f t="shared" si="88"/>
        <v>7113.48</v>
      </c>
      <c r="AG150" s="70">
        <f t="shared" si="89"/>
        <v>6412.12</v>
      </c>
      <c r="AH150" s="70">
        <f t="shared" si="90"/>
        <v>7112.6640000000007</v>
      </c>
      <c r="AI150" s="70">
        <f t="shared" si="91"/>
        <v>7589.9859999999999</v>
      </c>
      <c r="AJ150" s="70">
        <f t="shared" si="92"/>
        <v>7970.1959999999999</v>
      </c>
      <c r="AK150" s="70">
        <f t="shared" si="94"/>
        <v>7796.6559999999999</v>
      </c>
      <c r="AL150" s="70">
        <f t="shared" si="95"/>
        <v>7655.3119999999999</v>
      </c>
      <c r="AN150" s="111" t="s">
        <v>55</v>
      </c>
      <c r="AO150" s="113">
        <f t="shared" ref="AO150:AW150" si="116">H150/H148</f>
        <v>0.22067158501243833</v>
      </c>
      <c r="AP150" s="113">
        <f t="shared" si="116"/>
        <v>0.24622449503155519</v>
      </c>
      <c r="AQ150" s="113">
        <f t="shared" si="116"/>
        <v>0.28207275582308294</v>
      </c>
      <c r="AR150" s="113">
        <f t="shared" si="116"/>
        <v>0.27170368411775075</v>
      </c>
      <c r="AS150" s="113">
        <f t="shared" si="116"/>
        <v>0.28843972407752105</v>
      </c>
      <c r="AT150" s="113">
        <f t="shared" si="116"/>
        <v>0.27340605059152356</v>
      </c>
      <c r="AU150" s="113">
        <f t="shared" si="116"/>
        <v>0.30286122723039266</v>
      </c>
      <c r="AV150" s="113">
        <f t="shared" si="116"/>
        <v>0.24943090964431316</v>
      </c>
      <c r="AW150" s="113">
        <f t="shared" si="116"/>
        <v>0.29206209486858464</v>
      </c>
      <c r="AY150" s="111" t="s">
        <v>55</v>
      </c>
      <c r="AZ150" s="204">
        <f t="shared" si="50"/>
        <v>2.4715217521393093E-2</v>
      </c>
      <c r="BA150" s="204">
        <f t="shared" si="73"/>
        <v>2.9054490413723513E-2</v>
      </c>
      <c r="BB150" s="204">
        <f t="shared" si="74"/>
        <v>3.1028003140539124E-2</v>
      </c>
      <c r="BC150" s="204">
        <f t="shared" si="75"/>
        <v>2.825718314824608E-2</v>
      </c>
      <c r="BD150" s="204">
        <f t="shared" si="76"/>
        <v>3.1151490200372275E-2</v>
      </c>
      <c r="BE150" s="204">
        <f t="shared" si="77"/>
        <v>3.3355538172165876E-2</v>
      </c>
      <c r="BF150" s="204">
        <f t="shared" si="78"/>
        <v>3.4526179904264764E-2</v>
      </c>
      <c r="BG150" s="204">
        <f t="shared" si="78"/>
        <v>3.3423741892337967E-2</v>
      </c>
      <c r="BH150" s="204">
        <f t="shared" si="78"/>
        <v>3.271095462528148E-2</v>
      </c>
    </row>
    <row r="151" spans="2:68" s="108" customFormat="1" x14ac:dyDescent="0.25">
      <c r="B151" s="107"/>
      <c r="E151" s="109" t="s">
        <v>5</v>
      </c>
      <c r="F151" s="110" t="s">
        <v>60</v>
      </c>
      <c r="G151" s="111" t="s">
        <v>130</v>
      </c>
      <c r="H151" s="205">
        <v>28999</v>
      </c>
      <c r="I151" s="205">
        <v>34784</v>
      </c>
      <c r="J151" s="205">
        <v>28666</v>
      </c>
      <c r="K151" s="205">
        <v>28446</v>
      </c>
      <c r="L151" s="205">
        <v>25829</v>
      </c>
      <c r="M151" s="205">
        <v>28624</v>
      </c>
      <c r="N151" s="205">
        <v>25958</v>
      </c>
      <c r="O151" s="112">
        <v>27364</v>
      </c>
      <c r="P151" s="112">
        <v>25141</v>
      </c>
      <c r="R151" s="111" t="s">
        <v>130</v>
      </c>
      <c r="S151" s="220">
        <v>8.4</v>
      </c>
      <c r="T151" s="220">
        <v>8.1999999999999993</v>
      </c>
      <c r="U151" s="220">
        <v>8.8000000000000007</v>
      </c>
      <c r="V151" s="220">
        <v>8.4</v>
      </c>
      <c r="W151" s="220">
        <v>9</v>
      </c>
      <c r="X151" s="220">
        <v>9.8000000000000007</v>
      </c>
      <c r="Y151" s="220">
        <v>9.5</v>
      </c>
      <c r="Z151" s="220">
        <v>10.199999999999999</v>
      </c>
      <c r="AA151" s="220">
        <v>9.9</v>
      </c>
      <c r="AB151" s="126"/>
      <c r="AC151" s="111" t="s">
        <v>130</v>
      </c>
      <c r="AD151" s="70">
        <f t="shared" si="60"/>
        <v>4871.8320000000003</v>
      </c>
      <c r="AE151" s="70">
        <f t="shared" si="87"/>
        <v>5704.576</v>
      </c>
      <c r="AF151" s="70">
        <f t="shared" si="88"/>
        <v>5045.2160000000003</v>
      </c>
      <c r="AG151" s="70">
        <f t="shared" si="89"/>
        <v>4778.9280000000008</v>
      </c>
      <c r="AH151" s="70">
        <f t="shared" si="90"/>
        <v>4649.22</v>
      </c>
      <c r="AI151" s="70">
        <f t="shared" si="91"/>
        <v>5610.3040000000001</v>
      </c>
      <c r="AJ151" s="70">
        <f t="shared" si="92"/>
        <v>4932.0200000000004</v>
      </c>
      <c r="AK151" s="70">
        <f t="shared" si="94"/>
        <v>5582.2559999999994</v>
      </c>
      <c r="AL151" s="70">
        <f t="shared" si="95"/>
        <v>4977.9180000000006</v>
      </c>
      <c r="AN151" s="111" t="s">
        <v>130</v>
      </c>
      <c r="AO151" s="113">
        <f t="shared" ref="AO151:AW151" si="117">H151/H148</f>
        <v>0.12395171700419741</v>
      </c>
      <c r="AP151" s="113">
        <f t="shared" si="117"/>
        <v>0.14872838598231541</v>
      </c>
      <c r="AQ151" s="113">
        <f t="shared" si="117"/>
        <v>0.12503707580912501</v>
      </c>
      <c r="AR151" s="113">
        <f t="shared" si="117"/>
        <v>0.1253569539925965</v>
      </c>
      <c r="AS151" s="113">
        <f t="shared" si="117"/>
        <v>0.11312383663637358</v>
      </c>
      <c r="AT151" s="113">
        <f t="shared" si="117"/>
        <v>0.12579323922864627</v>
      </c>
      <c r="AU151" s="113">
        <f t="shared" si="117"/>
        <v>0.11244774632329052</v>
      </c>
      <c r="AV151" s="113">
        <f t="shared" si="117"/>
        <v>0.11730763459897885</v>
      </c>
      <c r="AW151" s="113">
        <f t="shared" si="117"/>
        <v>0.10742685735528502</v>
      </c>
      <c r="AY151" s="111" t="s">
        <v>130</v>
      </c>
      <c r="AZ151" s="204">
        <f t="shared" si="50"/>
        <v>2.0823888456705165E-2</v>
      </c>
      <c r="BA151" s="204">
        <f t="shared" si="73"/>
        <v>2.4391455301099728E-2</v>
      </c>
      <c r="BB151" s="204">
        <f t="shared" si="74"/>
        <v>2.2006525342406005E-2</v>
      </c>
      <c r="BC151" s="204">
        <f t="shared" si="75"/>
        <v>2.1059968270756211E-2</v>
      </c>
      <c r="BD151" s="204">
        <f t="shared" si="76"/>
        <v>2.0362290594547243E-2</v>
      </c>
      <c r="BE151" s="204">
        <f t="shared" si="77"/>
        <v>2.4655474888814671E-2</v>
      </c>
      <c r="BF151" s="204">
        <f t="shared" si="78"/>
        <v>2.13650718014252E-2</v>
      </c>
      <c r="BG151" s="204">
        <f t="shared" si="78"/>
        <v>2.3930757458191683E-2</v>
      </c>
      <c r="BH151" s="204">
        <f t="shared" si="78"/>
        <v>2.1270517756346433E-2</v>
      </c>
    </row>
    <row r="152" spans="2:68" s="108" customFormat="1" x14ac:dyDescent="0.25">
      <c r="B152" s="107"/>
      <c r="E152" s="109" t="s">
        <v>5</v>
      </c>
      <c r="F152" s="110" t="s">
        <v>60</v>
      </c>
      <c r="G152" s="111" t="s">
        <v>131</v>
      </c>
      <c r="H152" s="112">
        <v>89471</v>
      </c>
      <c r="I152" s="112">
        <v>90914</v>
      </c>
      <c r="J152" s="112">
        <v>83358</v>
      </c>
      <c r="K152" s="112">
        <v>86522</v>
      </c>
      <c r="L152" s="112">
        <v>89396</v>
      </c>
      <c r="M152" s="112">
        <v>91659</v>
      </c>
      <c r="N152" s="112">
        <v>92407</v>
      </c>
      <c r="O152" s="112">
        <v>101815</v>
      </c>
      <c r="P152" s="112">
        <v>99432</v>
      </c>
      <c r="R152" s="111" t="s">
        <v>131</v>
      </c>
      <c r="S152" s="220">
        <v>3.8</v>
      </c>
      <c r="T152" s="220">
        <v>4</v>
      </c>
      <c r="U152" s="220">
        <v>4.2</v>
      </c>
      <c r="V152" s="220">
        <v>3.9</v>
      </c>
      <c r="W152" s="220">
        <v>4.2</v>
      </c>
      <c r="X152" s="220">
        <v>4.2</v>
      </c>
      <c r="Y152" s="220">
        <v>3.9</v>
      </c>
      <c r="Z152" s="220">
        <v>4.7</v>
      </c>
      <c r="AA152" s="220">
        <v>4.0999999999999996</v>
      </c>
      <c r="AB152" s="126"/>
      <c r="AC152" s="111" t="s">
        <v>131</v>
      </c>
      <c r="AD152" s="112">
        <f t="shared" si="60"/>
        <v>6799.7959999999994</v>
      </c>
      <c r="AE152" s="112">
        <f t="shared" si="87"/>
        <v>7273.12</v>
      </c>
      <c r="AF152" s="112">
        <f t="shared" si="88"/>
        <v>7002.072000000001</v>
      </c>
      <c r="AG152" s="112">
        <f t="shared" si="89"/>
        <v>6748.7159999999994</v>
      </c>
      <c r="AH152" s="112">
        <f t="shared" si="90"/>
        <v>7509.2640000000001</v>
      </c>
      <c r="AI152" s="112">
        <f t="shared" si="91"/>
        <v>7699.3559999999998</v>
      </c>
      <c r="AJ152" s="112">
        <f t="shared" si="92"/>
        <v>7207.7460000000001</v>
      </c>
      <c r="AK152" s="112">
        <f t="shared" si="94"/>
        <v>9570.61</v>
      </c>
      <c r="AL152" s="112">
        <f t="shared" si="95"/>
        <v>8153.4239999999991</v>
      </c>
      <c r="AN152" s="111" t="s">
        <v>131</v>
      </c>
      <c r="AO152" s="113">
        <f t="shared" ref="AO152:AW152" si="118">H152/H148</f>
        <v>0.38242987937799738</v>
      </c>
      <c r="AP152" s="113">
        <f t="shared" si="118"/>
        <v>0.38872735979749951</v>
      </c>
      <c r="AQ152" s="113">
        <f t="shared" si="118"/>
        <v>0.36359591729913637</v>
      </c>
      <c r="AR152" s="113">
        <f t="shared" si="118"/>
        <v>0.38128855984487925</v>
      </c>
      <c r="AS152" s="113">
        <f t="shared" si="118"/>
        <v>0.39152961786926532</v>
      </c>
      <c r="AT152" s="113">
        <f t="shared" si="118"/>
        <v>0.40281171445145642</v>
      </c>
      <c r="AU152" s="113">
        <f t="shared" si="118"/>
        <v>0.40029890186055578</v>
      </c>
      <c r="AV152" s="113">
        <f t="shared" si="118"/>
        <v>0.43647408334655136</v>
      </c>
      <c r="AW152" s="113">
        <f t="shared" si="118"/>
        <v>0.42487042204171277</v>
      </c>
      <c r="AY152" s="111" t="s">
        <v>131</v>
      </c>
      <c r="AZ152" s="204">
        <f t="shared" si="50"/>
        <v>2.9064670832727801E-2</v>
      </c>
      <c r="BA152" s="204">
        <f t="shared" si="73"/>
        <v>3.1098188783799961E-2</v>
      </c>
      <c r="BB152" s="204">
        <f t="shared" si="74"/>
        <v>3.0542057053127455E-2</v>
      </c>
      <c r="BC152" s="204">
        <f t="shared" si="75"/>
        <v>2.9740507667900581E-2</v>
      </c>
      <c r="BD152" s="204">
        <f t="shared" si="76"/>
        <v>3.2888487901018289E-2</v>
      </c>
      <c r="BE152" s="204">
        <f t="shared" si="77"/>
        <v>3.3836184013922341E-2</v>
      </c>
      <c r="BF152" s="204">
        <f t="shared" si="78"/>
        <v>3.1223314345123349E-2</v>
      </c>
      <c r="BG152" s="204">
        <f t="shared" si="78"/>
        <v>4.1028563834575829E-2</v>
      </c>
      <c r="BH152" s="204">
        <f t="shared" si="78"/>
        <v>3.4839374607420447E-2</v>
      </c>
    </row>
    <row r="153" spans="2:68" x14ac:dyDescent="0.3">
      <c r="H153" s="122" t="s">
        <v>122</v>
      </c>
      <c r="I153" s="121">
        <v>2003</v>
      </c>
      <c r="J153" s="121">
        <v>2005</v>
      </c>
      <c r="K153" s="122" t="s">
        <v>123</v>
      </c>
      <c r="L153" s="122" t="s">
        <v>124</v>
      </c>
      <c r="M153" s="122" t="s">
        <v>125</v>
      </c>
      <c r="N153" s="122" t="s">
        <v>126</v>
      </c>
      <c r="O153" s="122" t="s">
        <v>127</v>
      </c>
      <c r="P153" s="122" t="s">
        <v>128</v>
      </c>
      <c r="R153" s="111"/>
      <c r="S153" s="120" t="s">
        <v>122</v>
      </c>
      <c r="T153" s="121">
        <v>2003</v>
      </c>
      <c r="U153" s="121">
        <v>2005</v>
      </c>
      <c r="V153" s="122" t="s">
        <v>123</v>
      </c>
      <c r="W153" s="122" t="s">
        <v>124</v>
      </c>
      <c r="X153" s="122" t="s">
        <v>125</v>
      </c>
      <c r="Y153" s="122" t="s">
        <v>126</v>
      </c>
      <c r="Z153" s="122" t="s">
        <v>127</v>
      </c>
      <c r="AA153" s="122" t="s">
        <v>128</v>
      </c>
      <c r="AC153" s="197" t="s">
        <v>8</v>
      </c>
      <c r="AD153" s="120" t="s">
        <v>122</v>
      </c>
      <c r="AE153" s="121">
        <v>2003</v>
      </c>
      <c r="AF153" s="121">
        <v>2005</v>
      </c>
      <c r="AG153" s="122" t="s">
        <v>123</v>
      </c>
      <c r="AH153" s="122" t="s">
        <v>124</v>
      </c>
      <c r="AI153" s="122" t="s">
        <v>125</v>
      </c>
      <c r="AJ153" s="122" t="s">
        <v>126</v>
      </c>
      <c r="AK153" s="122" t="s">
        <v>127</v>
      </c>
      <c r="AL153" s="122" t="s">
        <v>128</v>
      </c>
      <c r="AN153" s="197" t="s">
        <v>8</v>
      </c>
      <c r="AO153" s="120" t="s">
        <v>122</v>
      </c>
      <c r="AP153" s="121">
        <v>2003</v>
      </c>
      <c r="AQ153" s="121">
        <v>2005</v>
      </c>
      <c r="AR153" s="122" t="s">
        <v>123</v>
      </c>
      <c r="AS153" s="122" t="s">
        <v>124</v>
      </c>
      <c r="AT153" s="122" t="s">
        <v>125</v>
      </c>
      <c r="AU153" s="122" t="s">
        <v>126</v>
      </c>
      <c r="AV153" s="122" t="s">
        <v>127</v>
      </c>
      <c r="AW153" s="122" t="s">
        <v>128</v>
      </c>
      <c r="AY153" s="197" t="s">
        <v>8</v>
      </c>
      <c r="AZ153" s="120" t="s">
        <v>122</v>
      </c>
      <c r="BA153" s="121">
        <v>2003</v>
      </c>
      <c r="BB153" s="121">
        <v>2005</v>
      </c>
      <c r="BC153" s="122" t="s">
        <v>123</v>
      </c>
      <c r="BD153" s="122" t="s">
        <v>124</v>
      </c>
      <c r="BE153" s="122" t="s">
        <v>125</v>
      </c>
      <c r="BF153" s="122" t="s">
        <v>126</v>
      </c>
      <c r="BG153" s="122" t="s">
        <v>127</v>
      </c>
      <c r="BH153" s="122" t="s">
        <v>128</v>
      </c>
    </row>
    <row r="154" spans="2:68" s="87" customFormat="1" x14ac:dyDescent="0.25">
      <c r="B154" s="84"/>
      <c r="C154" s="85"/>
      <c r="D154" s="85"/>
      <c r="E154" s="109" t="s">
        <v>0</v>
      </c>
      <c r="F154" s="110" t="s">
        <v>53</v>
      </c>
      <c r="G154" s="195" t="s">
        <v>7</v>
      </c>
      <c r="H154" s="69">
        <v>16324</v>
      </c>
      <c r="I154" s="69">
        <v>16561</v>
      </c>
      <c r="J154" s="69">
        <v>16209</v>
      </c>
      <c r="K154" s="69">
        <v>15612</v>
      </c>
      <c r="L154" s="69">
        <v>15563</v>
      </c>
      <c r="M154" s="69">
        <v>15121</v>
      </c>
      <c r="N154" s="69">
        <v>14084</v>
      </c>
      <c r="O154" s="69">
        <v>13278</v>
      </c>
      <c r="P154" s="69">
        <v>12300</v>
      </c>
      <c r="R154" s="195" t="s">
        <v>7</v>
      </c>
      <c r="S154" s="226">
        <v>2</v>
      </c>
      <c r="T154" s="226">
        <v>2.6</v>
      </c>
      <c r="U154" s="226">
        <v>2.6</v>
      </c>
      <c r="V154" s="226">
        <v>2.4</v>
      </c>
      <c r="W154" s="226">
        <v>2.7</v>
      </c>
      <c r="X154" s="226">
        <v>3</v>
      </c>
      <c r="Y154" s="226">
        <v>2.9</v>
      </c>
      <c r="Z154" s="226">
        <v>2.8</v>
      </c>
      <c r="AA154" s="226">
        <v>3</v>
      </c>
      <c r="AB154" s="125"/>
      <c r="AC154" s="195" t="s">
        <v>7</v>
      </c>
      <c r="AD154" s="69">
        <f>2*(H154*S154/100)</f>
        <v>652.96</v>
      </c>
      <c r="AE154" s="69">
        <f t="shared" ref="AE154:AE193" si="119">2*(I154*T154/100)</f>
        <v>861.17200000000003</v>
      </c>
      <c r="AF154" s="69">
        <f t="shared" ref="AF154:AF193" si="120">2*(J154*U154/100)</f>
        <v>842.86800000000005</v>
      </c>
      <c r="AG154" s="69">
        <f t="shared" ref="AG154:AG193" si="121">2*(K154*V154/100)</f>
        <v>749.37599999999986</v>
      </c>
      <c r="AH154" s="69">
        <f t="shared" ref="AH154:AH193" si="122">2*(L154*W154/100)</f>
        <v>840.40200000000016</v>
      </c>
      <c r="AI154" s="69">
        <f t="shared" ref="AI154:AI193" si="123">2*(M154*X154/100)</f>
        <v>907.26</v>
      </c>
      <c r="AJ154" s="69">
        <f t="shared" ref="AJ154:AJ193" si="124">2*(N154*Y154/100)</f>
        <v>816.87199999999996</v>
      </c>
      <c r="AK154" s="69">
        <f>2*(O154*Z154/100)</f>
        <v>743.56799999999987</v>
      </c>
      <c r="AL154" s="69">
        <f>2*(P154*AA154/100)</f>
        <v>738</v>
      </c>
      <c r="AN154" s="195" t="s">
        <v>7</v>
      </c>
      <c r="AO154" s="98">
        <f t="shared" ref="AO154:AW154" si="125">H154/H154</f>
        <v>1</v>
      </c>
      <c r="AP154" s="98">
        <f t="shared" si="125"/>
        <v>1</v>
      </c>
      <c r="AQ154" s="98">
        <f t="shared" si="125"/>
        <v>1</v>
      </c>
      <c r="AR154" s="98">
        <f t="shared" si="125"/>
        <v>1</v>
      </c>
      <c r="AS154" s="98">
        <f t="shared" si="125"/>
        <v>1</v>
      </c>
      <c r="AT154" s="98">
        <f t="shared" si="125"/>
        <v>1</v>
      </c>
      <c r="AU154" s="98">
        <f t="shared" si="125"/>
        <v>1</v>
      </c>
      <c r="AV154" s="98">
        <f t="shared" si="125"/>
        <v>1</v>
      </c>
      <c r="AW154" s="98">
        <f t="shared" si="125"/>
        <v>1</v>
      </c>
      <c r="AX154" s="191"/>
      <c r="AY154" s="195" t="s">
        <v>7</v>
      </c>
      <c r="AZ154" s="178">
        <f t="shared" ref="AZ154:AZ193" si="126">2*(S154*AO154/100)</f>
        <v>0.04</v>
      </c>
      <c r="BA154" s="178">
        <f t="shared" ref="BA154:BA193" si="127">2*(T154*AP154/100)</f>
        <v>5.2000000000000005E-2</v>
      </c>
      <c r="BB154" s="178">
        <f t="shared" ref="BB154:BB193" si="128">2*(U154*AQ154/100)</f>
        <v>5.2000000000000005E-2</v>
      </c>
      <c r="BC154" s="178">
        <f t="shared" ref="BC154:BC193" si="129">2*(V154*AR154/100)</f>
        <v>4.8000000000000001E-2</v>
      </c>
      <c r="BD154" s="178">
        <f t="shared" ref="BD154:BD193" si="130">2*(W154*AS154/100)</f>
        <v>5.4000000000000006E-2</v>
      </c>
      <c r="BE154" s="178">
        <f t="shared" ref="BE154:BE193" si="131">2*(X154*AT154/100)</f>
        <v>0.06</v>
      </c>
      <c r="BF154" s="178">
        <f t="shared" ref="BF154:BF193" si="132">2*(Y154*AU154/100)</f>
        <v>5.7999999999999996E-2</v>
      </c>
      <c r="BG154" s="178">
        <f t="shared" ref="BG154:BG193" si="133">2*(Z154*AV154/100)</f>
        <v>5.5999999999999994E-2</v>
      </c>
      <c r="BH154" s="178">
        <f t="shared" ref="BH154:BH193" si="134">2*(AA154*AW154/100)</f>
        <v>0.06</v>
      </c>
      <c r="BI154" s="191"/>
      <c r="BJ154" s="191"/>
      <c r="BK154" s="191"/>
      <c r="BL154" s="191"/>
      <c r="BM154" s="191"/>
      <c r="BN154" s="191"/>
      <c r="BO154" s="191"/>
      <c r="BP154" s="191"/>
    </row>
    <row r="155" spans="2:68" s="108" customFormat="1" x14ac:dyDescent="0.25">
      <c r="B155" s="107"/>
      <c r="E155" s="109" t="s">
        <v>0</v>
      </c>
      <c r="F155" s="110" t="s">
        <v>53</v>
      </c>
      <c r="G155" s="111" t="s">
        <v>54</v>
      </c>
      <c r="H155" s="112">
        <v>2420</v>
      </c>
      <c r="I155" s="112">
        <v>1883</v>
      </c>
      <c r="J155" s="112">
        <v>1812</v>
      </c>
      <c r="K155" s="112">
        <v>1971</v>
      </c>
      <c r="L155" s="112" t="s">
        <v>57</v>
      </c>
      <c r="M155" s="112" t="s">
        <v>57</v>
      </c>
      <c r="N155" s="112" t="s">
        <v>57</v>
      </c>
      <c r="O155" s="112" t="s">
        <v>129</v>
      </c>
      <c r="P155" s="112" t="s">
        <v>129</v>
      </c>
      <c r="R155" s="111" t="s">
        <v>54</v>
      </c>
      <c r="S155" s="220">
        <v>17.8</v>
      </c>
      <c r="T155" s="220">
        <v>32.200000000000003</v>
      </c>
      <c r="U155" s="220">
        <v>31.2</v>
      </c>
      <c r="V155" s="220">
        <v>28.2</v>
      </c>
      <c r="W155" s="220" t="s">
        <v>57</v>
      </c>
      <c r="X155" s="220" t="s">
        <v>57</v>
      </c>
      <c r="Y155" s="220" t="s">
        <v>57</v>
      </c>
      <c r="Z155" s="220" t="s">
        <v>57</v>
      </c>
      <c r="AA155" s="220" t="s">
        <v>57</v>
      </c>
      <c r="AC155" s="111" t="s">
        <v>54</v>
      </c>
      <c r="AD155" s="112">
        <f>2*(H155*S155/100)</f>
        <v>861.52</v>
      </c>
      <c r="AE155" s="112">
        <f t="shared" si="119"/>
        <v>1212.652</v>
      </c>
      <c r="AF155" s="112">
        <f t="shared" si="120"/>
        <v>1130.6880000000001</v>
      </c>
      <c r="AG155" s="112">
        <f t="shared" si="121"/>
        <v>1111.644</v>
      </c>
      <c r="AH155" s="112" t="e">
        <f t="shared" si="122"/>
        <v>#VALUE!</v>
      </c>
      <c r="AI155" s="112" t="e">
        <f t="shared" si="123"/>
        <v>#VALUE!</v>
      </c>
      <c r="AJ155" s="112" t="e">
        <f t="shared" si="124"/>
        <v>#VALUE!</v>
      </c>
      <c r="AK155" s="112" t="e">
        <f t="shared" ref="AK155:AK193" si="135">2*(O155*Z155/100)</f>
        <v>#VALUE!</v>
      </c>
      <c r="AL155" s="112" t="e">
        <f t="shared" ref="AL155:AL193" si="136">2*(P155*AA155/100)</f>
        <v>#VALUE!</v>
      </c>
      <c r="AN155" s="111" t="s">
        <v>54</v>
      </c>
      <c r="AO155" s="113">
        <f t="shared" ref="AO155:AW155" si="137">H155/H154</f>
        <v>0.14824797843665768</v>
      </c>
      <c r="AP155" s="113">
        <f t="shared" si="137"/>
        <v>0.11370086347442787</v>
      </c>
      <c r="AQ155" s="113">
        <f t="shared" si="137"/>
        <v>0.11178974643716454</v>
      </c>
      <c r="AR155" s="113">
        <f t="shared" si="137"/>
        <v>0.12624903920061492</v>
      </c>
      <c r="AS155" s="113" t="e">
        <f t="shared" si="137"/>
        <v>#VALUE!</v>
      </c>
      <c r="AT155" s="113" t="e">
        <f t="shared" si="137"/>
        <v>#VALUE!</v>
      </c>
      <c r="AU155" s="113" t="e">
        <f t="shared" si="137"/>
        <v>#VALUE!</v>
      </c>
      <c r="AV155" s="113" t="e">
        <f t="shared" si="137"/>
        <v>#VALUE!</v>
      </c>
      <c r="AW155" s="113" t="e">
        <f t="shared" si="137"/>
        <v>#VALUE!</v>
      </c>
      <c r="AY155" s="111" t="s">
        <v>54</v>
      </c>
      <c r="AZ155" s="179">
        <f t="shared" si="126"/>
        <v>5.2776280323450137E-2</v>
      </c>
      <c r="BA155" s="179">
        <f t="shared" si="127"/>
        <v>7.3223356077531554E-2</v>
      </c>
      <c r="BB155" s="179">
        <f t="shared" si="128"/>
        <v>6.9756801776790667E-2</v>
      </c>
      <c r="BC155" s="179">
        <f t="shared" si="129"/>
        <v>7.1204458109146815E-2</v>
      </c>
      <c r="BD155" s="179" t="e">
        <f t="shared" si="130"/>
        <v>#VALUE!</v>
      </c>
      <c r="BE155" s="179" t="e">
        <f t="shared" si="131"/>
        <v>#VALUE!</v>
      </c>
      <c r="BF155" s="179" t="e">
        <f t="shared" si="132"/>
        <v>#VALUE!</v>
      </c>
      <c r="BG155" s="179" t="e">
        <f t="shared" si="133"/>
        <v>#VALUE!</v>
      </c>
      <c r="BH155" s="179" t="e">
        <f t="shared" si="134"/>
        <v>#VALUE!</v>
      </c>
    </row>
    <row r="156" spans="2:68" s="108" customFormat="1" x14ac:dyDescent="0.25">
      <c r="B156" s="107"/>
      <c r="E156" s="109" t="s">
        <v>0</v>
      </c>
      <c r="F156" s="110" t="s">
        <v>53</v>
      </c>
      <c r="G156" s="111" t="s">
        <v>55</v>
      </c>
      <c r="H156" s="70" t="s">
        <v>57</v>
      </c>
      <c r="I156" s="70" t="s">
        <v>57</v>
      </c>
      <c r="J156" s="112" t="s">
        <v>57</v>
      </c>
      <c r="K156" s="112" t="s">
        <v>57</v>
      </c>
      <c r="L156" s="112" t="s">
        <v>57</v>
      </c>
      <c r="M156" s="112" t="s">
        <v>57</v>
      </c>
      <c r="N156" s="112" t="s">
        <v>57</v>
      </c>
      <c r="O156" s="112" t="s">
        <v>129</v>
      </c>
      <c r="P156" s="112" t="s">
        <v>129</v>
      </c>
      <c r="R156" s="111" t="s">
        <v>55</v>
      </c>
      <c r="S156" s="81" t="s">
        <v>57</v>
      </c>
      <c r="T156" s="81" t="s">
        <v>57</v>
      </c>
      <c r="U156" s="81" t="s">
        <v>57</v>
      </c>
      <c r="V156" s="81" t="s">
        <v>57</v>
      </c>
      <c r="W156" s="81" t="s">
        <v>57</v>
      </c>
      <c r="X156" s="81" t="s">
        <v>57</v>
      </c>
      <c r="Y156" s="81" t="s">
        <v>57</v>
      </c>
      <c r="Z156" s="81" t="s">
        <v>57</v>
      </c>
      <c r="AA156" s="81" t="s">
        <v>57</v>
      </c>
      <c r="AC156" s="111" t="s">
        <v>55</v>
      </c>
      <c r="AD156" s="70" t="e">
        <f t="shared" ref="AD156:AD193" si="138">2*(H156*S156/100)</f>
        <v>#VALUE!</v>
      </c>
      <c r="AE156" s="70" t="e">
        <f t="shared" si="119"/>
        <v>#VALUE!</v>
      </c>
      <c r="AF156" s="70" t="e">
        <f t="shared" si="120"/>
        <v>#VALUE!</v>
      </c>
      <c r="AG156" s="70" t="e">
        <f t="shared" si="121"/>
        <v>#VALUE!</v>
      </c>
      <c r="AH156" s="70" t="e">
        <f t="shared" si="122"/>
        <v>#VALUE!</v>
      </c>
      <c r="AI156" s="70" t="e">
        <f t="shared" si="123"/>
        <v>#VALUE!</v>
      </c>
      <c r="AJ156" s="70" t="e">
        <f t="shared" si="124"/>
        <v>#VALUE!</v>
      </c>
      <c r="AK156" s="70" t="e">
        <f t="shared" si="135"/>
        <v>#VALUE!</v>
      </c>
      <c r="AL156" s="70" t="e">
        <f t="shared" si="136"/>
        <v>#VALUE!</v>
      </c>
      <c r="AN156" s="111" t="s">
        <v>55</v>
      </c>
      <c r="AO156" s="113" t="e">
        <f t="shared" ref="AO156:AW156" si="139">H156/H154</f>
        <v>#VALUE!</v>
      </c>
      <c r="AP156" s="113" t="e">
        <f t="shared" si="139"/>
        <v>#VALUE!</v>
      </c>
      <c r="AQ156" s="113" t="e">
        <f t="shared" si="139"/>
        <v>#VALUE!</v>
      </c>
      <c r="AR156" s="113" t="e">
        <f t="shared" si="139"/>
        <v>#VALUE!</v>
      </c>
      <c r="AS156" s="113" t="e">
        <f t="shared" si="139"/>
        <v>#VALUE!</v>
      </c>
      <c r="AT156" s="113" t="e">
        <f t="shared" si="139"/>
        <v>#VALUE!</v>
      </c>
      <c r="AU156" s="113" t="e">
        <f t="shared" si="139"/>
        <v>#VALUE!</v>
      </c>
      <c r="AV156" s="113" t="e">
        <f t="shared" si="139"/>
        <v>#VALUE!</v>
      </c>
      <c r="AW156" s="113" t="e">
        <f t="shared" si="139"/>
        <v>#VALUE!</v>
      </c>
      <c r="AY156" s="111" t="s">
        <v>55</v>
      </c>
      <c r="AZ156" s="179" t="e">
        <f t="shared" si="126"/>
        <v>#VALUE!</v>
      </c>
      <c r="BA156" s="179" t="e">
        <f t="shared" si="127"/>
        <v>#VALUE!</v>
      </c>
      <c r="BB156" s="179" t="e">
        <f t="shared" si="128"/>
        <v>#VALUE!</v>
      </c>
      <c r="BC156" s="179" t="e">
        <f t="shared" si="129"/>
        <v>#VALUE!</v>
      </c>
      <c r="BD156" s="179" t="e">
        <f t="shared" si="130"/>
        <v>#VALUE!</v>
      </c>
      <c r="BE156" s="179" t="e">
        <f t="shared" si="131"/>
        <v>#VALUE!</v>
      </c>
      <c r="BF156" s="179" t="e">
        <f t="shared" si="132"/>
        <v>#VALUE!</v>
      </c>
      <c r="BG156" s="179" t="e">
        <f t="shared" si="133"/>
        <v>#VALUE!</v>
      </c>
      <c r="BH156" s="179" t="e">
        <f t="shared" si="134"/>
        <v>#VALUE!</v>
      </c>
    </row>
    <row r="157" spans="2:68" s="108" customFormat="1" x14ac:dyDescent="0.25">
      <c r="B157" s="107"/>
      <c r="E157" s="109" t="s">
        <v>0</v>
      </c>
      <c r="F157" s="110" t="s">
        <v>53</v>
      </c>
      <c r="G157" s="111" t="s">
        <v>130</v>
      </c>
      <c r="H157" s="70">
        <v>1806</v>
      </c>
      <c r="I157" s="70">
        <v>2031</v>
      </c>
      <c r="J157" s="70">
        <v>1097</v>
      </c>
      <c r="K157" s="70">
        <v>761</v>
      </c>
      <c r="L157" s="70">
        <v>865</v>
      </c>
      <c r="M157" s="70">
        <v>1421</v>
      </c>
      <c r="N157" s="70">
        <v>1149</v>
      </c>
      <c r="O157" s="112" t="s">
        <v>129</v>
      </c>
      <c r="P157" s="112" t="s">
        <v>129</v>
      </c>
      <c r="R157" s="111" t="s">
        <v>130</v>
      </c>
      <c r="S157" s="220">
        <v>24.1</v>
      </c>
      <c r="T157" s="220">
        <v>21.7</v>
      </c>
      <c r="U157" s="220">
        <v>31.2</v>
      </c>
      <c r="V157" s="220">
        <v>0</v>
      </c>
      <c r="W157" s="220">
        <v>0</v>
      </c>
      <c r="X157" s="220">
        <v>35.9</v>
      </c>
      <c r="Y157" s="220">
        <v>32.9</v>
      </c>
      <c r="Z157" s="220" t="s">
        <v>57</v>
      </c>
      <c r="AA157" s="220" t="s">
        <v>57</v>
      </c>
      <c r="AC157" s="111" t="s">
        <v>130</v>
      </c>
      <c r="AD157" s="70">
        <f t="shared" si="138"/>
        <v>870.49200000000008</v>
      </c>
      <c r="AE157" s="70">
        <f t="shared" si="119"/>
        <v>881.45399999999995</v>
      </c>
      <c r="AF157" s="70">
        <f t="shared" si="120"/>
        <v>684.52800000000002</v>
      </c>
      <c r="AG157" s="70">
        <f t="shared" si="121"/>
        <v>0</v>
      </c>
      <c r="AH157" s="70">
        <f t="shared" si="122"/>
        <v>0</v>
      </c>
      <c r="AI157" s="70">
        <f t="shared" si="123"/>
        <v>1020.278</v>
      </c>
      <c r="AJ157" s="70">
        <f t="shared" si="124"/>
        <v>756.04199999999992</v>
      </c>
      <c r="AK157" s="70" t="e">
        <f t="shared" si="135"/>
        <v>#VALUE!</v>
      </c>
      <c r="AL157" s="70" t="e">
        <f t="shared" si="136"/>
        <v>#VALUE!</v>
      </c>
      <c r="AN157" s="111" t="s">
        <v>130</v>
      </c>
      <c r="AO157" s="113">
        <f t="shared" ref="AO157:AW157" si="140">H157/H154</f>
        <v>0.11063464837049743</v>
      </c>
      <c r="AP157" s="113">
        <f t="shared" si="140"/>
        <v>0.12263752188877483</v>
      </c>
      <c r="AQ157" s="113">
        <f t="shared" si="140"/>
        <v>6.7678450243691776E-2</v>
      </c>
      <c r="AR157" s="113">
        <f t="shared" si="140"/>
        <v>4.8744555470151163E-2</v>
      </c>
      <c r="AS157" s="113">
        <f t="shared" si="140"/>
        <v>5.5580543596992868E-2</v>
      </c>
      <c r="AT157" s="113">
        <f t="shared" si="140"/>
        <v>9.3975266186098805E-2</v>
      </c>
      <c r="AU157" s="113">
        <f t="shared" si="140"/>
        <v>8.1581936949730191E-2</v>
      </c>
      <c r="AV157" s="113" t="e">
        <f t="shared" si="140"/>
        <v>#VALUE!</v>
      </c>
      <c r="AW157" s="113" t="e">
        <f t="shared" si="140"/>
        <v>#VALUE!</v>
      </c>
      <c r="AY157" s="111" t="s">
        <v>130</v>
      </c>
      <c r="AZ157" s="179">
        <f t="shared" si="126"/>
        <v>5.3325900514579763E-2</v>
      </c>
      <c r="BA157" s="179">
        <f t="shared" si="127"/>
        <v>5.3224684499728274E-2</v>
      </c>
      <c r="BB157" s="179">
        <f t="shared" si="128"/>
        <v>4.2231352952063671E-2</v>
      </c>
      <c r="BC157" s="179">
        <f t="shared" si="129"/>
        <v>0</v>
      </c>
      <c r="BD157" s="179">
        <f t="shared" si="130"/>
        <v>0</v>
      </c>
      <c r="BE157" s="179">
        <f t="shared" si="131"/>
        <v>6.7474241121618941E-2</v>
      </c>
      <c r="BF157" s="179">
        <f t="shared" si="132"/>
        <v>5.3680914512922458E-2</v>
      </c>
      <c r="BG157" s="179" t="e">
        <f t="shared" si="133"/>
        <v>#VALUE!</v>
      </c>
      <c r="BH157" s="179" t="e">
        <f t="shared" si="134"/>
        <v>#VALUE!</v>
      </c>
    </row>
    <row r="158" spans="2:68" s="108" customFormat="1" x14ac:dyDescent="0.25">
      <c r="B158" s="107"/>
      <c r="E158" s="109" t="s">
        <v>0</v>
      </c>
      <c r="F158" s="110" t="s">
        <v>53</v>
      </c>
      <c r="G158" s="111" t="s">
        <v>131</v>
      </c>
      <c r="H158" s="112">
        <v>11807</v>
      </c>
      <c r="I158" s="112">
        <v>11804</v>
      </c>
      <c r="J158" s="112">
        <v>12954</v>
      </c>
      <c r="K158" s="112">
        <v>12734</v>
      </c>
      <c r="L158" s="112">
        <v>12565</v>
      </c>
      <c r="M158" s="112">
        <v>12399</v>
      </c>
      <c r="N158" s="112">
        <v>11635</v>
      </c>
      <c r="O158" s="112">
        <v>11599</v>
      </c>
      <c r="P158" s="112">
        <v>10702</v>
      </c>
      <c r="R158" s="111" t="s">
        <v>131</v>
      </c>
      <c r="S158" s="220">
        <v>4.2</v>
      </c>
      <c r="T158" s="220">
        <v>9.3000000000000007</v>
      </c>
      <c r="U158" s="220">
        <v>5.2</v>
      </c>
      <c r="V158" s="220">
        <v>4.7</v>
      </c>
      <c r="W158" s="220">
        <v>5.3</v>
      </c>
      <c r="X158" s="220">
        <v>5.8</v>
      </c>
      <c r="Y158" s="220">
        <v>5.6</v>
      </c>
      <c r="Z158" s="220">
        <v>5</v>
      </c>
      <c r="AA158" s="220">
        <v>5.4</v>
      </c>
      <c r="AC158" s="111" t="s">
        <v>131</v>
      </c>
      <c r="AD158" s="112">
        <f t="shared" si="138"/>
        <v>991.78800000000001</v>
      </c>
      <c r="AE158" s="112">
        <f t="shared" si="119"/>
        <v>2195.5440000000003</v>
      </c>
      <c r="AF158" s="112">
        <f t="shared" si="120"/>
        <v>1347.2160000000001</v>
      </c>
      <c r="AG158" s="112">
        <f t="shared" si="121"/>
        <v>1196.9960000000001</v>
      </c>
      <c r="AH158" s="112">
        <f t="shared" si="122"/>
        <v>1331.89</v>
      </c>
      <c r="AI158" s="112">
        <f t="shared" si="123"/>
        <v>1438.2839999999999</v>
      </c>
      <c r="AJ158" s="112">
        <f t="shared" si="124"/>
        <v>1303.1199999999999</v>
      </c>
      <c r="AK158" s="112">
        <f t="shared" si="135"/>
        <v>1159.9000000000001</v>
      </c>
      <c r="AL158" s="112">
        <f t="shared" si="136"/>
        <v>1155.816</v>
      </c>
      <c r="AN158" s="111" t="s">
        <v>131</v>
      </c>
      <c r="AO158" s="113">
        <f t="shared" ref="AO158:AW158" si="141">H158/H154</f>
        <v>0.72329086008331289</v>
      </c>
      <c r="AP158" s="113">
        <f t="shared" si="141"/>
        <v>0.712758891371294</v>
      </c>
      <c r="AQ158" s="113">
        <f t="shared" si="141"/>
        <v>0.79918563760873584</v>
      </c>
      <c r="AR158" s="113">
        <f t="shared" si="141"/>
        <v>0.81565462464770688</v>
      </c>
      <c r="AS158" s="113">
        <f t="shared" si="141"/>
        <v>0.80736361883955532</v>
      </c>
      <c r="AT158" s="113">
        <f t="shared" si="141"/>
        <v>0.81998545069770523</v>
      </c>
      <c r="AU158" s="113">
        <f t="shared" si="141"/>
        <v>0.82611474013064468</v>
      </c>
      <c r="AV158" s="113">
        <f t="shared" si="141"/>
        <v>0.87355023346889593</v>
      </c>
      <c r="AW158" s="113">
        <f t="shared" si="141"/>
        <v>0.87008130081300816</v>
      </c>
      <c r="AY158" s="111" t="s">
        <v>131</v>
      </c>
      <c r="AZ158" s="179">
        <f t="shared" si="126"/>
        <v>6.0756432246998289E-2</v>
      </c>
      <c r="BA158" s="179">
        <f t="shared" si="127"/>
        <v>0.13257315379506068</v>
      </c>
      <c r="BB158" s="179">
        <f t="shared" si="128"/>
        <v>8.3115306311308534E-2</v>
      </c>
      <c r="BC158" s="179">
        <f t="shared" si="129"/>
        <v>7.667153471688444E-2</v>
      </c>
      <c r="BD158" s="179">
        <f t="shared" si="130"/>
        <v>8.5580543596992853E-2</v>
      </c>
      <c r="BE158" s="179">
        <f t="shared" si="131"/>
        <v>9.5118312280933801E-2</v>
      </c>
      <c r="BF158" s="179">
        <f t="shared" si="132"/>
        <v>9.2524850894632193E-2</v>
      </c>
      <c r="BG158" s="179">
        <f t="shared" si="133"/>
        <v>8.735502334688959E-2</v>
      </c>
      <c r="BH158" s="179">
        <f t="shared" si="134"/>
        <v>9.3968780487804882E-2</v>
      </c>
    </row>
    <row r="159" spans="2:68" s="87" customFormat="1" x14ac:dyDescent="0.25">
      <c r="B159" s="84"/>
      <c r="C159" s="85"/>
      <c r="D159" s="85"/>
      <c r="E159" s="109" t="s">
        <v>1</v>
      </c>
      <c r="F159" s="110" t="s">
        <v>53</v>
      </c>
      <c r="G159" s="195" t="s">
        <v>7</v>
      </c>
      <c r="H159" s="69">
        <v>18528</v>
      </c>
      <c r="I159" s="69">
        <v>18686</v>
      </c>
      <c r="J159" s="69">
        <v>17331</v>
      </c>
      <c r="K159" s="69">
        <v>18277</v>
      </c>
      <c r="L159" s="69">
        <v>17572</v>
      </c>
      <c r="M159" s="69">
        <v>17766</v>
      </c>
      <c r="N159" s="69">
        <v>17820</v>
      </c>
      <c r="O159" s="69">
        <v>16266</v>
      </c>
      <c r="P159" s="69">
        <v>18343</v>
      </c>
      <c r="R159" s="195" t="s">
        <v>7</v>
      </c>
      <c r="S159" s="226">
        <v>1.9</v>
      </c>
      <c r="T159" s="226">
        <v>2.4</v>
      </c>
      <c r="U159" s="226">
        <v>2.5</v>
      </c>
      <c r="V159" s="226">
        <v>2.2000000000000002</v>
      </c>
      <c r="W159" s="226">
        <v>2.6</v>
      </c>
      <c r="X159" s="226">
        <v>2.8</v>
      </c>
      <c r="Y159" s="226">
        <v>2.6</v>
      </c>
      <c r="Z159" s="226">
        <v>2.5</v>
      </c>
      <c r="AA159" s="226">
        <v>2.2999999999999998</v>
      </c>
      <c r="AC159" s="195" t="s">
        <v>7</v>
      </c>
      <c r="AD159" s="69">
        <f t="shared" si="138"/>
        <v>704.06399999999996</v>
      </c>
      <c r="AE159" s="69">
        <f t="shared" si="119"/>
        <v>896.928</v>
      </c>
      <c r="AF159" s="69">
        <f t="shared" si="120"/>
        <v>866.55</v>
      </c>
      <c r="AG159" s="69">
        <f t="shared" si="121"/>
        <v>804.18799999999999</v>
      </c>
      <c r="AH159" s="69">
        <f t="shared" si="122"/>
        <v>913.74400000000014</v>
      </c>
      <c r="AI159" s="69">
        <f t="shared" si="123"/>
        <v>994.89599999999996</v>
      </c>
      <c r="AJ159" s="69">
        <f t="shared" si="124"/>
        <v>926.64</v>
      </c>
      <c r="AK159" s="69">
        <f t="shared" si="135"/>
        <v>813.3</v>
      </c>
      <c r="AL159" s="69">
        <f t="shared" si="136"/>
        <v>843.77799999999991</v>
      </c>
      <c r="AN159" s="195" t="s">
        <v>7</v>
      </c>
      <c r="AO159" s="98">
        <f t="shared" ref="AO159:AW159" si="142">H159/H159</f>
        <v>1</v>
      </c>
      <c r="AP159" s="98">
        <f t="shared" si="142"/>
        <v>1</v>
      </c>
      <c r="AQ159" s="98">
        <f t="shared" si="142"/>
        <v>1</v>
      </c>
      <c r="AR159" s="98">
        <f t="shared" si="142"/>
        <v>1</v>
      </c>
      <c r="AS159" s="98">
        <f t="shared" si="142"/>
        <v>1</v>
      </c>
      <c r="AT159" s="98">
        <f t="shared" si="142"/>
        <v>1</v>
      </c>
      <c r="AU159" s="98">
        <f t="shared" si="142"/>
        <v>1</v>
      </c>
      <c r="AV159" s="98">
        <f t="shared" si="142"/>
        <v>1</v>
      </c>
      <c r="AW159" s="98">
        <f t="shared" si="142"/>
        <v>1</v>
      </c>
      <c r="AX159" s="191"/>
      <c r="AY159" s="195" t="s">
        <v>7</v>
      </c>
      <c r="AZ159" s="178">
        <f t="shared" si="126"/>
        <v>3.7999999999999999E-2</v>
      </c>
      <c r="BA159" s="178">
        <f t="shared" si="127"/>
        <v>4.8000000000000001E-2</v>
      </c>
      <c r="BB159" s="178">
        <f t="shared" si="128"/>
        <v>0.05</v>
      </c>
      <c r="BC159" s="178">
        <f t="shared" si="129"/>
        <v>4.4000000000000004E-2</v>
      </c>
      <c r="BD159" s="178">
        <f t="shared" si="130"/>
        <v>5.2000000000000005E-2</v>
      </c>
      <c r="BE159" s="178">
        <f t="shared" si="131"/>
        <v>5.5999999999999994E-2</v>
      </c>
      <c r="BF159" s="178">
        <f t="shared" si="132"/>
        <v>5.2000000000000005E-2</v>
      </c>
      <c r="BG159" s="178">
        <f t="shared" si="133"/>
        <v>0.05</v>
      </c>
      <c r="BH159" s="178">
        <f t="shared" si="134"/>
        <v>4.5999999999999999E-2</v>
      </c>
      <c r="BI159" s="191"/>
      <c r="BJ159" s="191"/>
      <c r="BK159" s="191"/>
      <c r="BL159" s="191"/>
      <c r="BM159" s="191"/>
      <c r="BN159" s="191"/>
      <c r="BO159" s="191"/>
      <c r="BP159" s="191"/>
    </row>
    <row r="160" spans="2:68" s="108" customFormat="1" x14ac:dyDescent="0.25">
      <c r="B160" s="107"/>
      <c r="E160" s="109" t="s">
        <v>1</v>
      </c>
      <c r="F160" s="110" t="s">
        <v>53</v>
      </c>
      <c r="G160" s="111" t="s">
        <v>54</v>
      </c>
      <c r="H160" s="112">
        <v>7423</v>
      </c>
      <c r="I160" s="112">
        <v>6201</v>
      </c>
      <c r="J160" s="112">
        <v>5193</v>
      </c>
      <c r="K160" s="112">
        <v>5109</v>
      </c>
      <c r="L160" s="112">
        <v>5189</v>
      </c>
      <c r="M160" s="112">
        <v>6276</v>
      </c>
      <c r="N160" s="112">
        <v>5143</v>
      </c>
      <c r="O160" s="112">
        <v>3355</v>
      </c>
      <c r="P160" s="112">
        <v>3217</v>
      </c>
      <c r="R160" s="111" t="s">
        <v>54</v>
      </c>
      <c r="S160" s="220">
        <v>7.4</v>
      </c>
      <c r="T160" s="220">
        <v>11.1</v>
      </c>
      <c r="U160" s="220">
        <v>12.3</v>
      </c>
      <c r="V160" s="220">
        <v>11.5</v>
      </c>
      <c r="W160" s="220">
        <v>12.5</v>
      </c>
      <c r="X160" s="220">
        <v>12.1</v>
      </c>
      <c r="Y160" s="220">
        <v>13.1</v>
      </c>
      <c r="Z160" s="220">
        <v>16.399999999999999</v>
      </c>
      <c r="AA160" s="220">
        <v>16.600000000000001</v>
      </c>
      <c r="AC160" s="111" t="s">
        <v>54</v>
      </c>
      <c r="AD160" s="112">
        <f t="shared" si="138"/>
        <v>1098.604</v>
      </c>
      <c r="AE160" s="112">
        <f t="shared" si="119"/>
        <v>1376.6219999999998</v>
      </c>
      <c r="AF160" s="112">
        <f t="shared" si="120"/>
        <v>1277.4780000000001</v>
      </c>
      <c r="AG160" s="112">
        <f t="shared" si="121"/>
        <v>1175.07</v>
      </c>
      <c r="AH160" s="112">
        <f t="shared" si="122"/>
        <v>1297.25</v>
      </c>
      <c r="AI160" s="112">
        <f t="shared" si="123"/>
        <v>1518.7919999999999</v>
      </c>
      <c r="AJ160" s="112">
        <f t="shared" si="124"/>
        <v>1347.4660000000001</v>
      </c>
      <c r="AK160" s="112">
        <f t="shared" si="135"/>
        <v>1100.4399999999998</v>
      </c>
      <c r="AL160" s="112">
        <f t="shared" si="136"/>
        <v>1068.0440000000001</v>
      </c>
      <c r="AN160" s="111" t="s">
        <v>54</v>
      </c>
      <c r="AO160" s="113">
        <f t="shared" ref="AO160:AW160" si="143">H160/H159</f>
        <v>0.40063687392055269</v>
      </c>
      <c r="AP160" s="113">
        <f t="shared" si="143"/>
        <v>0.33185272396446536</v>
      </c>
      <c r="AQ160" s="113">
        <f t="shared" si="143"/>
        <v>0.29963648952743638</v>
      </c>
      <c r="AR160" s="113">
        <f t="shared" si="143"/>
        <v>0.27953165180281225</v>
      </c>
      <c r="AS160" s="113">
        <f t="shared" si="143"/>
        <v>0.29529933985886636</v>
      </c>
      <c r="AT160" s="113">
        <f t="shared" si="143"/>
        <v>0.35325903411009796</v>
      </c>
      <c r="AU160" s="113">
        <f t="shared" si="143"/>
        <v>0.28860830527497194</v>
      </c>
      <c r="AV160" s="113">
        <f t="shared" si="143"/>
        <v>0.20625845321529571</v>
      </c>
      <c r="AW160" s="113">
        <f t="shared" si="143"/>
        <v>0.17538025404786567</v>
      </c>
      <c r="AY160" s="111" t="s">
        <v>54</v>
      </c>
      <c r="AZ160" s="179">
        <f t="shared" si="126"/>
        <v>5.9294257340241803E-2</v>
      </c>
      <c r="BA160" s="179">
        <f t="shared" si="127"/>
        <v>7.3671304720111311E-2</v>
      </c>
      <c r="BB160" s="179">
        <f t="shared" si="128"/>
        <v>7.3710576423749355E-2</v>
      </c>
      <c r="BC160" s="179">
        <f t="shared" si="129"/>
        <v>6.4292279914646824E-2</v>
      </c>
      <c r="BD160" s="179">
        <f t="shared" si="130"/>
        <v>7.382483496471659E-2</v>
      </c>
      <c r="BE160" s="179">
        <f t="shared" si="131"/>
        <v>8.5488686254643703E-2</v>
      </c>
      <c r="BF160" s="179">
        <f t="shared" si="132"/>
        <v>7.561537598204264E-2</v>
      </c>
      <c r="BG160" s="179">
        <f t="shared" si="133"/>
        <v>6.7652772654616986E-2</v>
      </c>
      <c r="BH160" s="179">
        <f t="shared" si="134"/>
        <v>5.8226244343891412E-2</v>
      </c>
    </row>
    <row r="161" spans="2:68" s="108" customFormat="1" x14ac:dyDescent="0.25">
      <c r="B161" s="107"/>
      <c r="E161" s="109" t="s">
        <v>1</v>
      </c>
      <c r="F161" s="110" t="s">
        <v>53</v>
      </c>
      <c r="G161" s="111" t="s">
        <v>55</v>
      </c>
      <c r="H161" s="70" t="s">
        <v>57</v>
      </c>
      <c r="I161" s="70">
        <v>2671</v>
      </c>
      <c r="J161" s="70">
        <v>2606</v>
      </c>
      <c r="K161" s="70" t="s">
        <v>57</v>
      </c>
      <c r="L161" s="70" t="s">
        <v>57</v>
      </c>
      <c r="M161" s="70" t="s">
        <v>57</v>
      </c>
      <c r="N161" s="70" t="s">
        <v>57</v>
      </c>
      <c r="O161" s="112" t="s">
        <v>129</v>
      </c>
      <c r="P161" s="112" t="s">
        <v>129</v>
      </c>
      <c r="R161" s="111" t="s">
        <v>55</v>
      </c>
      <c r="S161" s="81"/>
      <c r="T161" s="81">
        <v>21.7</v>
      </c>
      <c r="U161" s="81">
        <v>21.4</v>
      </c>
      <c r="V161" s="81" t="s">
        <v>57</v>
      </c>
      <c r="W161" s="81" t="s">
        <v>57</v>
      </c>
      <c r="X161" s="81" t="s">
        <v>57</v>
      </c>
      <c r="Y161" s="81" t="s">
        <v>57</v>
      </c>
      <c r="Z161" s="81" t="s">
        <v>129</v>
      </c>
      <c r="AA161" s="81" t="s">
        <v>129</v>
      </c>
      <c r="AC161" s="111" t="s">
        <v>55</v>
      </c>
      <c r="AD161" s="70" t="e">
        <f t="shared" si="138"/>
        <v>#VALUE!</v>
      </c>
      <c r="AE161" s="70">
        <f t="shared" si="119"/>
        <v>1159.2139999999999</v>
      </c>
      <c r="AF161" s="70">
        <f t="shared" si="120"/>
        <v>1115.3679999999999</v>
      </c>
      <c r="AG161" s="70" t="e">
        <f t="shared" si="121"/>
        <v>#VALUE!</v>
      </c>
      <c r="AH161" s="70" t="e">
        <f t="shared" si="122"/>
        <v>#VALUE!</v>
      </c>
      <c r="AI161" s="70" t="e">
        <f t="shared" si="123"/>
        <v>#VALUE!</v>
      </c>
      <c r="AJ161" s="70" t="e">
        <f t="shared" si="124"/>
        <v>#VALUE!</v>
      </c>
      <c r="AK161" s="70" t="e">
        <f t="shared" si="135"/>
        <v>#VALUE!</v>
      </c>
      <c r="AL161" s="70" t="e">
        <f t="shared" si="136"/>
        <v>#VALUE!</v>
      </c>
      <c r="AN161" s="111" t="s">
        <v>55</v>
      </c>
      <c r="AO161" s="113" t="e">
        <f t="shared" ref="AO161:AW161" si="144">H161/H159</f>
        <v>#VALUE!</v>
      </c>
      <c r="AP161" s="113">
        <f t="shared" si="144"/>
        <v>0.14294123943058976</v>
      </c>
      <c r="AQ161" s="113">
        <f t="shared" si="144"/>
        <v>0.15036639547631411</v>
      </c>
      <c r="AR161" s="113" t="e">
        <f t="shared" si="144"/>
        <v>#VALUE!</v>
      </c>
      <c r="AS161" s="113" t="e">
        <f t="shared" si="144"/>
        <v>#VALUE!</v>
      </c>
      <c r="AT161" s="113" t="e">
        <f t="shared" si="144"/>
        <v>#VALUE!</v>
      </c>
      <c r="AU161" s="113" t="e">
        <f t="shared" si="144"/>
        <v>#VALUE!</v>
      </c>
      <c r="AV161" s="113" t="e">
        <f t="shared" si="144"/>
        <v>#VALUE!</v>
      </c>
      <c r="AW161" s="113" t="e">
        <f t="shared" si="144"/>
        <v>#VALUE!</v>
      </c>
      <c r="AY161" s="111" t="s">
        <v>55</v>
      </c>
      <c r="AZ161" s="179" t="e">
        <f t="shared" si="126"/>
        <v>#VALUE!</v>
      </c>
      <c r="BA161" s="179">
        <f t="shared" si="127"/>
        <v>6.2036497912875951E-2</v>
      </c>
      <c r="BB161" s="179">
        <f t="shared" si="128"/>
        <v>6.4356817263862429E-2</v>
      </c>
      <c r="BC161" s="179" t="e">
        <f t="shared" si="129"/>
        <v>#VALUE!</v>
      </c>
      <c r="BD161" s="179" t="e">
        <f t="shared" si="130"/>
        <v>#VALUE!</v>
      </c>
      <c r="BE161" s="179" t="e">
        <f t="shared" si="131"/>
        <v>#VALUE!</v>
      </c>
      <c r="BF161" s="179" t="e">
        <f t="shared" si="132"/>
        <v>#VALUE!</v>
      </c>
      <c r="BG161" s="179" t="e">
        <f t="shared" si="133"/>
        <v>#VALUE!</v>
      </c>
      <c r="BH161" s="179" t="e">
        <f t="shared" si="134"/>
        <v>#VALUE!</v>
      </c>
    </row>
    <row r="162" spans="2:68" s="108" customFormat="1" x14ac:dyDescent="0.25">
      <c r="B162" s="107"/>
      <c r="E162" s="109" t="s">
        <v>1</v>
      </c>
      <c r="F162" s="110" t="s">
        <v>53</v>
      </c>
      <c r="G162" s="111" t="s">
        <v>130</v>
      </c>
      <c r="H162" s="70">
        <v>2621</v>
      </c>
      <c r="I162" s="70">
        <v>3886</v>
      </c>
      <c r="J162" s="70">
        <v>2449</v>
      </c>
      <c r="K162" s="70">
        <v>3532</v>
      </c>
      <c r="L162" s="70">
        <v>2946</v>
      </c>
      <c r="M162" s="70">
        <v>2121</v>
      </c>
      <c r="N162" s="70">
        <v>2636</v>
      </c>
      <c r="O162" s="112" t="s">
        <v>129</v>
      </c>
      <c r="P162" s="112" t="s">
        <v>129</v>
      </c>
      <c r="R162" s="111" t="s">
        <v>130</v>
      </c>
      <c r="S162" s="220">
        <v>17</v>
      </c>
      <c r="T162" s="220">
        <v>16.7</v>
      </c>
      <c r="U162" s="220">
        <v>22.1</v>
      </c>
      <c r="V162" s="220">
        <v>15.8</v>
      </c>
      <c r="W162" s="220">
        <v>21.8</v>
      </c>
      <c r="X162" s="220">
        <v>24.7</v>
      </c>
      <c r="Y162" s="220">
        <v>22</v>
      </c>
      <c r="Z162" s="220" t="s">
        <v>129</v>
      </c>
      <c r="AA162" s="220" t="s">
        <v>129</v>
      </c>
      <c r="AC162" s="111" t="s">
        <v>130</v>
      </c>
      <c r="AD162" s="70">
        <f t="shared" si="138"/>
        <v>891.14</v>
      </c>
      <c r="AE162" s="70">
        <f t="shared" si="119"/>
        <v>1297.924</v>
      </c>
      <c r="AF162" s="70">
        <f t="shared" si="120"/>
        <v>1082.4580000000001</v>
      </c>
      <c r="AG162" s="70">
        <f t="shared" si="121"/>
        <v>1116.1120000000001</v>
      </c>
      <c r="AH162" s="70">
        <f t="shared" si="122"/>
        <v>1284.4560000000001</v>
      </c>
      <c r="AI162" s="70">
        <f t="shared" si="123"/>
        <v>1047.7739999999999</v>
      </c>
      <c r="AJ162" s="70">
        <f t="shared" si="124"/>
        <v>1159.8399999999999</v>
      </c>
      <c r="AK162" s="70" t="e">
        <f t="shared" si="135"/>
        <v>#VALUE!</v>
      </c>
      <c r="AL162" s="70" t="e">
        <f t="shared" si="136"/>
        <v>#VALUE!</v>
      </c>
      <c r="AN162" s="111" t="s">
        <v>130</v>
      </c>
      <c r="AO162" s="113">
        <f t="shared" ref="AO162:AW162" si="145">H162/H159</f>
        <v>0.14146157167530224</v>
      </c>
      <c r="AP162" s="113">
        <f t="shared" si="145"/>
        <v>0.20796318099111635</v>
      </c>
      <c r="AQ162" s="113">
        <f t="shared" si="145"/>
        <v>0.14130748369972881</v>
      </c>
      <c r="AR162" s="113">
        <f t="shared" si="145"/>
        <v>0.19324834491437326</v>
      </c>
      <c r="AS162" s="113">
        <f t="shared" si="145"/>
        <v>0.16765308445253813</v>
      </c>
      <c r="AT162" s="113">
        <f t="shared" si="145"/>
        <v>0.11938534278959811</v>
      </c>
      <c r="AU162" s="113">
        <f t="shared" si="145"/>
        <v>0.14792368125701458</v>
      </c>
      <c r="AV162" s="113" t="e">
        <f t="shared" si="145"/>
        <v>#VALUE!</v>
      </c>
      <c r="AW162" s="113" t="e">
        <f t="shared" si="145"/>
        <v>#VALUE!</v>
      </c>
      <c r="AY162" s="111" t="s">
        <v>130</v>
      </c>
      <c r="AZ162" s="179">
        <f t="shared" si="126"/>
        <v>4.8096934369602759E-2</v>
      </c>
      <c r="BA162" s="179">
        <f t="shared" si="127"/>
        <v>6.9459702451032862E-2</v>
      </c>
      <c r="BB162" s="179">
        <f t="shared" si="128"/>
        <v>6.245790779528014E-2</v>
      </c>
      <c r="BC162" s="179">
        <f t="shared" si="129"/>
        <v>6.1066476992941959E-2</v>
      </c>
      <c r="BD162" s="179">
        <f t="shared" si="130"/>
        <v>7.3096744821306625E-2</v>
      </c>
      <c r="BE162" s="179">
        <f t="shared" si="131"/>
        <v>5.8976359338061467E-2</v>
      </c>
      <c r="BF162" s="179">
        <f t="shared" si="132"/>
        <v>6.5086419753086419E-2</v>
      </c>
      <c r="BG162" s="179" t="e">
        <f t="shared" si="133"/>
        <v>#VALUE!</v>
      </c>
      <c r="BH162" s="179" t="e">
        <f t="shared" si="134"/>
        <v>#VALUE!</v>
      </c>
    </row>
    <row r="163" spans="2:68" s="108" customFormat="1" x14ac:dyDescent="0.25">
      <c r="B163" s="107"/>
      <c r="E163" s="109" t="s">
        <v>1</v>
      </c>
      <c r="F163" s="110" t="s">
        <v>53</v>
      </c>
      <c r="G163" s="111" t="s">
        <v>131</v>
      </c>
      <c r="H163" s="112">
        <v>6032</v>
      </c>
      <c r="I163" s="112">
        <v>5928</v>
      </c>
      <c r="J163" s="112">
        <v>7083</v>
      </c>
      <c r="K163" s="112">
        <v>7515</v>
      </c>
      <c r="L163" s="112">
        <v>7460</v>
      </c>
      <c r="M163" s="112">
        <v>7668</v>
      </c>
      <c r="N163" s="112">
        <v>7681</v>
      </c>
      <c r="O163" s="112">
        <v>9807</v>
      </c>
      <c r="P163" s="112">
        <v>10308</v>
      </c>
      <c r="R163" s="111" t="s">
        <v>131</v>
      </c>
      <c r="S163" s="220">
        <v>12.3</v>
      </c>
      <c r="T163" s="220">
        <v>14.1</v>
      </c>
      <c r="U163" s="220">
        <v>11.2</v>
      </c>
      <c r="V163" s="220">
        <v>8.6999999999999993</v>
      </c>
      <c r="W163" s="220">
        <v>12</v>
      </c>
      <c r="X163" s="220">
        <v>11.7</v>
      </c>
      <c r="Y163" s="220">
        <v>9.9</v>
      </c>
      <c r="Z163" s="220">
        <v>7.5</v>
      </c>
      <c r="AA163" s="220">
        <v>7</v>
      </c>
      <c r="AC163" s="111" t="s">
        <v>131</v>
      </c>
      <c r="AD163" s="112">
        <f t="shared" si="138"/>
        <v>1483.8720000000001</v>
      </c>
      <c r="AE163" s="112">
        <f t="shared" si="119"/>
        <v>1671.6960000000001</v>
      </c>
      <c r="AF163" s="112">
        <f t="shared" si="120"/>
        <v>1586.5919999999999</v>
      </c>
      <c r="AG163" s="112">
        <f t="shared" si="121"/>
        <v>1307.6099999999999</v>
      </c>
      <c r="AH163" s="112">
        <f t="shared" si="122"/>
        <v>1790.4</v>
      </c>
      <c r="AI163" s="112">
        <f t="shared" si="123"/>
        <v>1794.3119999999999</v>
      </c>
      <c r="AJ163" s="112">
        <f t="shared" si="124"/>
        <v>1520.8380000000002</v>
      </c>
      <c r="AK163" s="112">
        <f t="shared" si="135"/>
        <v>1471.05</v>
      </c>
      <c r="AL163" s="112">
        <f t="shared" si="136"/>
        <v>1443.12</v>
      </c>
      <c r="AN163" s="111" t="s">
        <v>131</v>
      </c>
      <c r="AO163" s="113">
        <f t="shared" ref="AO163:AW163" si="146">H163/H159</f>
        <v>0.32556131260794474</v>
      </c>
      <c r="AP163" s="113">
        <f t="shared" si="146"/>
        <v>0.31724285561382853</v>
      </c>
      <c r="AQ163" s="113">
        <f t="shared" si="146"/>
        <v>0.40868963129652069</v>
      </c>
      <c r="AR163" s="113">
        <f t="shared" si="146"/>
        <v>0.41117251190020243</v>
      </c>
      <c r="AS163" s="113">
        <f t="shared" si="146"/>
        <v>0.42453903938083315</v>
      </c>
      <c r="AT163" s="113">
        <f t="shared" si="146"/>
        <v>0.43161094224924013</v>
      </c>
      <c r="AU163" s="113">
        <f t="shared" si="146"/>
        <v>0.43103254769921434</v>
      </c>
      <c r="AV163" s="113">
        <f t="shared" si="146"/>
        <v>0.60291405385466612</v>
      </c>
      <c r="AW163" s="113">
        <f t="shared" si="146"/>
        <v>0.56195824020062146</v>
      </c>
      <c r="AY163" s="111" t="s">
        <v>131</v>
      </c>
      <c r="AZ163" s="179">
        <f t="shared" si="126"/>
        <v>8.0088082901554405E-2</v>
      </c>
      <c r="BA163" s="179">
        <f t="shared" si="127"/>
        <v>8.9462485283099649E-2</v>
      </c>
      <c r="BB163" s="179">
        <f t="shared" si="128"/>
        <v>9.1546477410420615E-2</v>
      </c>
      <c r="BC163" s="179">
        <f t="shared" si="129"/>
        <v>7.1544017070635221E-2</v>
      </c>
      <c r="BD163" s="179">
        <f t="shared" si="130"/>
        <v>0.10188936945139997</v>
      </c>
      <c r="BE163" s="179">
        <f t="shared" si="131"/>
        <v>0.10099696048632217</v>
      </c>
      <c r="BF163" s="179">
        <f t="shared" si="132"/>
        <v>8.5344444444444445E-2</v>
      </c>
      <c r="BG163" s="179">
        <f t="shared" si="133"/>
        <v>9.0437108078199907E-2</v>
      </c>
      <c r="BH163" s="179">
        <f t="shared" si="134"/>
        <v>7.867415362808701E-2</v>
      </c>
    </row>
    <row r="164" spans="2:68" s="87" customFormat="1" x14ac:dyDescent="0.25">
      <c r="B164" s="84"/>
      <c r="C164" s="85"/>
      <c r="D164" s="85"/>
      <c r="E164" s="109" t="s">
        <v>2</v>
      </c>
      <c r="F164" s="110" t="s">
        <v>53</v>
      </c>
      <c r="G164" s="195" t="s">
        <v>7</v>
      </c>
      <c r="H164" s="69">
        <v>31232</v>
      </c>
      <c r="I164" s="69">
        <v>30946</v>
      </c>
      <c r="J164" s="69">
        <v>28543</v>
      </c>
      <c r="K164" s="69">
        <v>26748</v>
      </c>
      <c r="L164" s="69">
        <v>26303</v>
      </c>
      <c r="M164" s="69">
        <v>25738</v>
      </c>
      <c r="N164" s="69">
        <v>25744</v>
      </c>
      <c r="O164" s="69">
        <v>28510</v>
      </c>
      <c r="P164" s="69">
        <v>27806</v>
      </c>
      <c r="R164" s="195" t="s">
        <v>7</v>
      </c>
      <c r="S164" s="226">
        <v>1.5</v>
      </c>
      <c r="T164" s="226">
        <v>4.9000000000000004</v>
      </c>
      <c r="U164" s="226">
        <v>2.1</v>
      </c>
      <c r="V164" s="226">
        <v>1.9</v>
      </c>
      <c r="W164" s="226">
        <v>2.1</v>
      </c>
      <c r="X164" s="226">
        <v>2.1</v>
      </c>
      <c r="Y164" s="226">
        <v>2.1</v>
      </c>
      <c r="Z164" s="226">
        <v>2</v>
      </c>
      <c r="AA164" s="226">
        <v>2</v>
      </c>
      <c r="AC164" s="195" t="s">
        <v>7</v>
      </c>
      <c r="AD164" s="69">
        <f t="shared" si="138"/>
        <v>936.96</v>
      </c>
      <c r="AE164" s="69">
        <f t="shared" si="119"/>
        <v>3032.7080000000005</v>
      </c>
      <c r="AF164" s="69">
        <f t="shared" si="120"/>
        <v>1198.806</v>
      </c>
      <c r="AG164" s="69">
        <f t="shared" si="121"/>
        <v>1016.424</v>
      </c>
      <c r="AH164" s="69">
        <f t="shared" si="122"/>
        <v>1104.7260000000001</v>
      </c>
      <c r="AI164" s="69">
        <f t="shared" si="123"/>
        <v>1080.9960000000001</v>
      </c>
      <c r="AJ164" s="69">
        <f t="shared" si="124"/>
        <v>1081.248</v>
      </c>
      <c r="AK164" s="69">
        <f t="shared" si="135"/>
        <v>1140.4000000000001</v>
      </c>
      <c r="AL164" s="69">
        <f t="shared" si="136"/>
        <v>1112.24</v>
      </c>
      <c r="AN164" s="195" t="s">
        <v>7</v>
      </c>
      <c r="AO164" s="98">
        <f t="shared" ref="AO164:AW164" si="147">H164/H164</f>
        <v>1</v>
      </c>
      <c r="AP164" s="98">
        <f t="shared" si="147"/>
        <v>1</v>
      </c>
      <c r="AQ164" s="98">
        <f t="shared" si="147"/>
        <v>1</v>
      </c>
      <c r="AR164" s="98">
        <f t="shared" si="147"/>
        <v>1</v>
      </c>
      <c r="AS164" s="98">
        <f t="shared" si="147"/>
        <v>1</v>
      </c>
      <c r="AT164" s="98">
        <f t="shared" si="147"/>
        <v>1</v>
      </c>
      <c r="AU164" s="98">
        <f t="shared" si="147"/>
        <v>1</v>
      </c>
      <c r="AV164" s="98">
        <f t="shared" si="147"/>
        <v>1</v>
      </c>
      <c r="AW164" s="98">
        <f t="shared" si="147"/>
        <v>1</v>
      </c>
      <c r="AX164" s="191"/>
      <c r="AY164" s="195" t="s">
        <v>7</v>
      </c>
      <c r="AZ164" s="178">
        <f t="shared" si="126"/>
        <v>0.03</v>
      </c>
      <c r="BA164" s="178">
        <f t="shared" si="127"/>
        <v>9.8000000000000004E-2</v>
      </c>
      <c r="BB164" s="178">
        <f t="shared" si="128"/>
        <v>4.2000000000000003E-2</v>
      </c>
      <c r="BC164" s="178">
        <f t="shared" si="129"/>
        <v>3.7999999999999999E-2</v>
      </c>
      <c r="BD164" s="178">
        <f t="shared" si="130"/>
        <v>4.2000000000000003E-2</v>
      </c>
      <c r="BE164" s="178">
        <f t="shared" si="131"/>
        <v>4.2000000000000003E-2</v>
      </c>
      <c r="BF164" s="178">
        <f t="shared" si="132"/>
        <v>4.2000000000000003E-2</v>
      </c>
      <c r="BG164" s="178">
        <f t="shared" si="133"/>
        <v>0.04</v>
      </c>
      <c r="BH164" s="178">
        <f t="shared" si="134"/>
        <v>0.04</v>
      </c>
      <c r="BI164" s="191"/>
      <c r="BJ164" s="191"/>
      <c r="BK164" s="191"/>
      <c r="BL164" s="191"/>
      <c r="BM164" s="191"/>
      <c r="BN164" s="191"/>
      <c r="BO164" s="191"/>
      <c r="BP164" s="191"/>
    </row>
    <row r="165" spans="2:68" s="108" customFormat="1" x14ac:dyDescent="0.25">
      <c r="B165" s="107"/>
      <c r="E165" s="109" t="s">
        <v>2</v>
      </c>
      <c r="F165" s="110" t="s">
        <v>53</v>
      </c>
      <c r="G165" s="111" t="s">
        <v>54</v>
      </c>
      <c r="H165" s="112">
        <v>10689</v>
      </c>
      <c r="I165" s="112">
        <v>9397</v>
      </c>
      <c r="J165" s="112">
        <v>6741</v>
      </c>
      <c r="K165" s="112">
        <v>6344</v>
      </c>
      <c r="L165" s="112">
        <v>6876</v>
      </c>
      <c r="M165" s="112">
        <v>7085</v>
      </c>
      <c r="N165" s="112">
        <v>6497</v>
      </c>
      <c r="O165" s="112">
        <v>5035</v>
      </c>
      <c r="P165" s="112">
        <v>5505</v>
      </c>
      <c r="R165" s="111" t="s">
        <v>54</v>
      </c>
      <c r="S165" s="220">
        <v>6.7</v>
      </c>
      <c r="T165" s="220">
        <v>9</v>
      </c>
      <c r="U165" s="220">
        <v>12.3</v>
      </c>
      <c r="V165" s="220">
        <v>11.9</v>
      </c>
      <c r="W165" s="220">
        <v>11.8</v>
      </c>
      <c r="X165" s="220">
        <v>12.1</v>
      </c>
      <c r="Y165" s="220">
        <v>11.9</v>
      </c>
      <c r="Z165" s="220">
        <v>13.1</v>
      </c>
      <c r="AA165" s="220">
        <v>13.6</v>
      </c>
      <c r="AC165" s="111" t="s">
        <v>54</v>
      </c>
      <c r="AD165" s="112">
        <f t="shared" si="138"/>
        <v>1432.326</v>
      </c>
      <c r="AE165" s="112">
        <f t="shared" si="119"/>
        <v>1691.46</v>
      </c>
      <c r="AF165" s="112">
        <f t="shared" si="120"/>
        <v>1658.2860000000001</v>
      </c>
      <c r="AG165" s="112">
        <f t="shared" si="121"/>
        <v>1509.8720000000001</v>
      </c>
      <c r="AH165" s="112">
        <f t="shared" si="122"/>
        <v>1622.7360000000001</v>
      </c>
      <c r="AI165" s="112">
        <f t="shared" si="123"/>
        <v>1714.57</v>
      </c>
      <c r="AJ165" s="112">
        <f t="shared" si="124"/>
        <v>1546.2860000000001</v>
      </c>
      <c r="AK165" s="112">
        <f t="shared" si="135"/>
        <v>1319.17</v>
      </c>
      <c r="AL165" s="112">
        <f t="shared" si="136"/>
        <v>1497.36</v>
      </c>
      <c r="AN165" s="111" t="s">
        <v>54</v>
      </c>
      <c r="AO165" s="113">
        <f t="shared" ref="AO165:AW165" si="148">H165/H164</f>
        <v>0.34224513319672129</v>
      </c>
      <c r="AP165" s="113">
        <f t="shared" si="148"/>
        <v>0.30365798487688234</v>
      </c>
      <c r="AQ165" s="113">
        <f t="shared" si="148"/>
        <v>0.23616998913919349</v>
      </c>
      <c r="AR165" s="113">
        <f t="shared" si="148"/>
        <v>0.23717661133542695</v>
      </c>
      <c r="AS165" s="113">
        <f t="shared" si="148"/>
        <v>0.26141504771318863</v>
      </c>
      <c r="AT165" s="113">
        <f t="shared" si="148"/>
        <v>0.27527391405703627</v>
      </c>
      <c r="AU165" s="113">
        <f t="shared" si="148"/>
        <v>0.25236948415164701</v>
      </c>
      <c r="AV165" s="113">
        <f t="shared" si="148"/>
        <v>0.17660470010522625</v>
      </c>
      <c r="AW165" s="113">
        <f t="shared" si="148"/>
        <v>0.19797885348485939</v>
      </c>
      <c r="AY165" s="111" t="s">
        <v>54</v>
      </c>
      <c r="AZ165" s="179">
        <f t="shared" si="126"/>
        <v>4.5860847848360649E-2</v>
      </c>
      <c r="BA165" s="179">
        <f t="shared" si="127"/>
        <v>5.4658437277838826E-2</v>
      </c>
      <c r="BB165" s="179">
        <f t="shared" si="128"/>
        <v>5.8097817328241604E-2</v>
      </c>
      <c r="BC165" s="179">
        <f t="shared" si="129"/>
        <v>5.6448033497831611E-2</v>
      </c>
      <c r="BD165" s="179">
        <f t="shared" si="130"/>
        <v>6.1693951260312518E-2</v>
      </c>
      <c r="BE165" s="179">
        <f t="shared" si="131"/>
        <v>6.6616287201802779E-2</v>
      </c>
      <c r="BF165" s="179">
        <f t="shared" si="132"/>
        <v>6.0063937228091994E-2</v>
      </c>
      <c r="BG165" s="179">
        <f t="shared" si="133"/>
        <v>4.6270431427569279E-2</v>
      </c>
      <c r="BH165" s="179">
        <f t="shared" si="134"/>
        <v>5.3850248147881752E-2</v>
      </c>
    </row>
    <row r="166" spans="2:68" s="108" customFormat="1" x14ac:dyDescent="0.25">
      <c r="B166" s="107"/>
      <c r="E166" s="109" t="s">
        <v>2</v>
      </c>
      <c r="F166" s="110" t="s">
        <v>53</v>
      </c>
      <c r="G166" s="111" t="s">
        <v>55</v>
      </c>
      <c r="H166" s="70">
        <v>8840</v>
      </c>
      <c r="I166" s="70">
        <v>8979</v>
      </c>
      <c r="J166" s="70">
        <v>8065</v>
      </c>
      <c r="K166" s="70">
        <v>6912</v>
      </c>
      <c r="L166" s="70">
        <v>6628</v>
      </c>
      <c r="M166" s="70">
        <v>8049</v>
      </c>
      <c r="N166" s="70">
        <v>7479</v>
      </c>
      <c r="O166" s="112">
        <v>8150</v>
      </c>
      <c r="P166" s="112">
        <v>5731</v>
      </c>
      <c r="R166" s="111" t="s">
        <v>55</v>
      </c>
      <c r="S166" s="81">
        <v>7.8</v>
      </c>
      <c r="T166" s="81">
        <v>9.9</v>
      </c>
      <c r="U166" s="81">
        <v>10.1</v>
      </c>
      <c r="V166" s="81">
        <v>10.5</v>
      </c>
      <c r="W166" s="81">
        <v>11.8</v>
      </c>
      <c r="X166" s="81">
        <v>10.9</v>
      </c>
      <c r="Y166" s="81">
        <v>11</v>
      </c>
      <c r="Z166" s="81">
        <v>9.6999999999999993</v>
      </c>
      <c r="AA166" s="81">
        <v>12.4</v>
      </c>
      <c r="AC166" s="111" t="s">
        <v>55</v>
      </c>
      <c r="AD166" s="70">
        <f t="shared" si="138"/>
        <v>1379.04</v>
      </c>
      <c r="AE166" s="70">
        <f t="shared" si="119"/>
        <v>1777.8420000000001</v>
      </c>
      <c r="AF166" s="70">
        <f t="shared" si="120"/>
        <v>1629.13</v>
      </c>
      <c r="AG166" s="70">
        <f t="shared" si="121"/>
        <v>1451.52</v>
      </c>
      <c r="AH166" s="70">
        <f t="shared" si="122"/>
        <v>1564.2080000000001</v>
      </c>
      <c r="AI166" s="70">
        <f t="shared" si="123"/>
        <v>1754.682</v>
      </c>
      <c r="AJ166" s="70">
        <f t="shared" si="124"/>
        <v>1645.38</v>
      </c>
      <c r="AK166" s="70">
        <f t="shared" si="135"/>
        <v>1581.1</v>
      </c>
      <c r="AL166" s="70">
        <f t="shared" si="136"/>
        <v>1421.2880000000002</v>
      </c>
      <c r="AN166" s="111" t="s">
        <v>55</v>
      </c>
      <c r="AO166" s="113">
        <f t="shared" ref="AO166:AW166" si="149">H166/H164</f>
        <v>0.28304303278688525</v>
      </c>
      <c r="AP166" s="113">
        <f t="shared" si="149"/>
        <v>0.29015058488980805</v>
      </c>
      <c r="AQ166" s="113">
        <f t="shared" si="149"/>
        <v>0.28255614336264584</v>
      </c>
      <c r="AR166" s="113">
        <f t="shared" si="149"/>
        <v>0.25841184387617766</v>
      </c>
      <c r="AS166" s="113">
        <f t="shared" si="149"/>
        <v>0.25198646542219516</v>
      </c>
      <c r="AT166" s="113">
        <f t="shared" si="149"/>
        <v>0.31272826171419693</v>
      </c>
      <c r="AU166" s="113">
        <f t="shared" si="149"/>
        <v>0.29051429459291483</v>
      </c>
      <c r="AV166" s="113">
        <f t="shared" si="149"/>
        <v>0.28586460890915466</v>
      </c>
      <c r="AW166" s="113">
        <f t="shared" si="149"/>
        <v>0.20610659569877005</v>
      </c>
      <c r="AY166" s="111" t="s">
        <v>55</v>
      </c>
      <c r="AZ166" s="179">
        <f t="shared" si="126"/>
        <v>4.41547131147541E-2</v>
      </c>
      <c r="BA166" s="179">
        <f t="shared" si="127"/>
        <v>5.7449815808182002E-2</v>
      </c>
      <c r="BB166" s="179">
        <f t="shared" si="128"/>
        <v>5.7076340959254457E-2</v>
      </c>
      <c r="BC166" s="179">
        <f t="shared" si="129"/>
        <v>5.4266487213997315E-2</v>
      </c>
      <c r="BD166" s="179">
        <f t="shared" si="130"/>
        <v>5.9468805839638067E-2</v>
      </c>
      <c r="BE166" s="179">
        <f t="shared" si="131"/>
        <v>6.8174761053694938E-2</v>
      </c>
      <c r="BF166" s="179">
        <f t="shared" si="132"/>
        <v>6.3913144810441261E-2</v>
      </c>
      <c r="BG166" s="179">
        <f t="shared" si="133"/>
        <v>5.5457734128375999E-2</v>
      </c>
      <c r="BH166" s="179">
        <f t="shared" si="134"/>
        <v>5.1114435733294973E-2</v>
      </c>
    </row>
    <row r="167" spans="2:68" s="108" customFormat="1" x14ac:dyDescent="0.25">
      <c r="B167" s="107"/>
      <c r="E167" s="109" t="s">
        <v>2</v>
      </c>
      <c r="F167" s="110" t="s">
        <v>53</v>
      </c>
      <c r="G167" s="111" t="s">
        <v>130</v>
      </c>
      <c r="H167" s="70">
        <v>4071</v>
      </c>
      <c r="I167" s="70">
        <v>3597</v>
      </c>
      <c r="J167" s="70">
        <v>4082</v>
      </c>
      <c r="K167" s="70">
        <v>4113</v>
      </c>
      <c r="L167" s="70">
        <v>3861</v>
      </c>
      <c r="M167" s="70">
        <v>4147</v>
      </c>
      <c r="N167" s="70">
        <v>3358</v>
      </c>
      <c r="O167" s="112">
        <v>4024</v>
      </c>
      <c r="P167" s="112">
        <v>4655</v>
      </c>
      <c r="R167" s="111" t="s">
        <v>130</v>
      </c>
      <c r="S167" s="220">
        <v>12</v>
      </c>
      <c r="T167" s="220">
        <v>17.7</v>
      </c>
      <c r="U167" s="220">
        <v>15.6</v>
      </c>
      <c r="V167" s="220">
        <v>13.7</v>
      </c>
      <c r="W167" s="220">
        <v>17.8</v>
      </c>
      <c r="X167" s="220">
        <v>17</v>
      </c>
      <c r="Y167" s="220">
        <v>18.5</v>
      </c>
      <c r="Z167" s="220">
        <v>15</v>
      </c>
      <c r="AA167" s="220">
        <v>15.4</v>
      </c>
      <c r="AC167" s="111" t="s">
        <v>130</v>
      </c>
      <c r="AD167" s="70">
        <f t="shared" si="138"/>
        <v>977.04</v>
      </c>
      <c r="AE167" s="70">
        <f t="shared" si="119"/>
        <v>1273.338</v>
      </c>
      <c r="AF167" s="70">
        <f t="shared" si="120"/>
        <v>1273.5839999999998</v>
      </c>
      <c r="AG167" s="70">
        <f t="shared" si="121"/>
        <v>1126.962</v>
      </c>
      <c r="AH167" s="70">
        <f t="shared" si="122"/>
        <v>1374.5160000000001</v>
      </c>
      <c r="AI167" s="70">
        <f t="shared" si="123"/>
        <v>1409.98</v>
      </c>
      <c r="AJ167" s="70">
        <f t="shared" si="124"/>
        <v>1242.46</v>
      </c>
      <c r="AK167" s="70">
        <f t="shared" si="135"/>
        <v>1207.2</v>
      </c>
      <c r="AL167" s="70">
        <f t="shared" si="136"/>
        <v>1433.74</v>
      </c>
      <c r="AN167" s="111" t="s">
        <v>130</v>
      </c>
      <c r="AO167" s="113">
        <f t="shared" ref="AO167:AW167" si="150">H167/H164</f>
        <v>0.13034707991803279</v>
      </c>
      <c r="AP167" s="113">
        <f t="shared" si="150"/>
        <v>0.11623473146771796</v>
      </c>
      <c r="AQ167" s="113">
        <f t="shared" si="150"/>
        <v>0.14301229723574957</v>
      </c>
      <c r="AR167" s="113">
        <f t="shared" si="150"/>
        <v>0.15376850605652759</v>
      </c>
      <c r="AS167" s="113">
        <f t="shared" si="150"/>
        <v>0.14678933961905485</v>
      </c>
      <c r="AT167" s="113">
        <f t="shared" si="150"/>
        <v>0.16112363042971481</v>
      </c>
      <c r="AU167" s="113">
        <f t="shared" si="150"/>
        <v>0.13043816034804226</v>
      </c>
      <c r="AV167" s="113">
        <f t="shared" si="150"/>
        <v>0.14114345843563661</v>
      </c>
      <c r="AW167" s="113">
        <f t="shared" si="150"/>
        <v>0.16740991152988563</v>
      </c>
      <c r="AY167" s="111" t="s">
        <v>130</v>
      </c>
      <c r="AZ167" s="179">
        <f t="shared" si="126"/>
        <v>3.1283299180327871E-2</v>
      </c>
      <c r="BA167" s="179">
        <f t="shared" si="127"/>
        <v>4.1147094939572151E-2</v>
      </c>
      <c r="BB167" s="179">
        <f t="shared" si="128"/>
        <v>4.4619836737553868E-2</v>
      </c>
      <c r="BC167" s="179">
        <f t="shared" si="129"/>
        <v>4.2132570659488555E-2</v>
      </c>
      <c r="BD167" s="179">
        <f t="shared" si="130"/>
        <v>5.2257004904383529E-2</v>
      </c>
      <c r="BE167" s="179">
        <f t="shared" si="131"/>
        <v>5.4782034346103042E-2</v>
      </c>
      <c r="BF167" s="179">
        <f t="shared" si="132"/>
        <v>4.8262119328775638E-2</v>
      </c>
      <c r="BG167" s="179">
        <f t="shared" si="133"/>
        <v>4.2343037530690984E-2</v>
      </c>
      <c r="BH167" s="179">
        <f t="shared" si="134"/>
        <v>5.1562252751204775E-2</v>
      </c>
    </row>
    <row r="168" spans="2:68" s="108" customFormat="1" x14ac:dyDescent="0.25">
      <c r="B168" s="107"/>
      <c r="E168" s="109" t="s">
        <v>2</v>
      </c>
      <c r="F168" s="110" t="s">
        <v>53</v>
      </c>
      <c r="G168" s="111" t="s">
        <v>131</v>
      </c>
      <c r="H168" s="112">
        <v>7633</v>
      </c>
      <c r="I168" s="112">
        <v>8973</v>
      </c>
      <c r="J168" s="112">
        <v>9656</v>
      </c>
      <c r="K168" s="112">
        <v>9379</v>
      </c>
      <c r="L168" s="112">
        <v>8938</v>
      </c>
      <c r="M168" s="112">
        <v>6457</v>
      </c>
      <c r="N168" s="112">
        <v>8409</v>
      </c>
      <c r="O168" s="112">
        <v>11301</v>
      </c>
      <c r="P168" s="112">
        <v>11915</v>
      </c>
      <c r="R168" s="111" t="s">
        <v>131</v>
      </c>
      <c r="S168" s="220">
        <v>8.6</v>
      </c>
      <c r="T168" s="220">
        <v>9.3000000000000007</v>
      </c>
      <c r="U168" s="220">
        <v>9.5</v>
      </c>
      <c r="V168" s="220">
        <v>8</v>
      </c>
      <c r="W168" s="220">
        <v>9.5</v>
      </c>
      <c r="X168" s="220">
        <v>13</v>
      </c>
      <c r="Y168" s="220">
        <v>10</v>
      </c>
      <c r="Z168" s="220">
        <v>7.1</v>
      </c>
      <c r="AA168" s="220">
        <v>7.6</v>
      </c>
      <c r="AC168" s="111" t="s">
        <v>131</v>
      </c>
      <c r="AD168" s="112">
        <f t="shared" si="138"/>
        <v>1312.876</v>
      </c>
      <c r="AE168" s="112">
        <f t="shared" si="119"/>
        <v>1668.9780000000001</v>
      </c>
      <c r="AF168" s="112">
        <f t="shared" si="120"/>
        <v>1834.64</v>
      </c>
      <c r="AG168" s="112">
        <f t="shared" si="121"/>
        <v>1500.64</v>
      </c>
      <c r="AH168" s="112">
        <f t="shared" si="122"/>
        <v>1698.22</v>
      </c>
      <c r="AI168" s="112">
        <f t="shared" si="123"/>
        <v>1678.82</v>
      </c>
      <c r="AJ168" s="112">
        <f t="shared" si="124"/>
        <v>1681.8</v>
      </c>
      <c r="AK168" s="112">
        <f t="shared" si="135"/>
        <v>1604.7419999999997</v>
      </c>
      <c r="AL168" s="112">
        <f t="shared" si="136"/>
        <v>1811.08</v>
      </c>
      <c r="AN168" s="111" t="s">
        <v>131</v>
      </c>
      <c r="AO168" s="113">
        <f t="shared" ref="AO168:AW168" si="151">H168/H164</f>
        <v>0.2443967725409836</v>
      </c>
      <c r="AP168" s="113">
        <f t="shared" si="151"/>
        <v>0.28995669876559166</v>
      </c>
      <c r="AQ168" s="113">
        <f t="shared" si="151"/>
        <v>0.33829660512209647</v>
      </c>
      <c r="AR168" s="113">
        <f t="shared" si="151"/>
        <v>0.35064303873186781</v>
      </c>
      <c r="AS168" s="113">
        <f t="shared" si="151"/>
        <v>0.33980914724556133</v>
      </c>
      <c r="AT168" s="113">
        <f t="shared" si="151"/>
        <v>0.25087419379905196</v>
      </c>
      <c r="AU168" s="113">
        <f t="shared" si="151"/>
        <v>0.32663921690490988</v>
      </c>
      <c r="AV168" s="113">
        <f t="shared" si="151"/>
        <v>0.39638723254998248</v>
      </c>
      <c r="AW168" s="113">
        <f t="shared" si="151"/>
        <v>0.42850463928648491</v>
      </c>
      <c r="AY168" s="111" t="s">
        <v>131</v>
      </c>
      <c r="AZ168" s="179">
        <f t="shared" si="126"/>
        <v>4.2036244877049177E-2</v>
      </c>
      <c r="BA168" s="179">
        <f t="shared" si="127"/>
        <v>5.3931945970400054E-2</v>
      </c>
      <c r="BB168" s="179">
        <f t="shared" si="128"/>
        <v>6.4276354973198335E-2</v>
      </c>
      <c r="BC168" s="179">
        <f t="shared" si="129"/>
        <v>5.6102886197098849E-2</v>
      </c>
      <c r="BD168" s="179">
        <f t="shared" si="130"/>
        <v>6.4563737976656654E-2</v>
      </c>
      <c r="BE168" s="179">
        <f t="shared" si="131"/>
        <v>6.5227290387753503E-2</v>
      </c>
      <c r="BF168" s="179">
        <f t="shared" si="132"/>
        <v>6.5327843380981979E-2</v>
      </c>
      <c r="BG168" s="179">
        <f t="shared" si="133"/>
        <v>5.6286987022097508E-2</v>
      </c>
      <c r="BH168" s="179">
        <f t="shared" si="134"/>
        <v>6.5132705171545707E-2</v>
      </c>
    </row>
    <row r="169" spans="2:68" s="87" customFormat="1" x14ac:dyDescent="0.25">
      <c r="B169" s="84"/>
      <c r="C169" s="85"/>
      <c r="D169" s="85"/>
      <c r="E169" s="109" t="s">
        <v>3</v>
      </c>
      <c r="F169" s="110" t="s">
        <v>53</v>
      </c>
      <c r="G169" s="195" t="s">
        <v>7</v>
      </c>
      <c r="H169" s="69">
        <v>33019</v>
      </c>
      <c r="I169" s="69">
        <v>35598</v>
      </c>
      <c r="J169" s="69">
        <v>37384</v>
      </c>
      <c r="K169" s="69">
        <v>39834</v>
      </c>
      <c r="L169" s="69">
        <v>42115</v>
      </c>
      <c r="M169" s="69">
        <v>43725</v>
      </c>
      <c r="N169" s="69">
        <v>43382</v>
      </c>
      <c r="O169" s="69">
        <v>41549</v>
      </c>
      <c r="P169" s="69">
        <v>42782</v>
      </c>
      <c r="R169" s="195" t="s">
        <v>7</v>
      </c>
      <c r="S169" s="226">
        <v>1.5</v>
      </c>
      <c r="T169" s="226">
        <v>1.9</v>
      </c>
      <c r="U169" s="226">
        <v>1.6</v>
      </c>
      <c r="V169" s="226">
        <v>1.6</v>
      </c>
      <c r="W169" s="226">
        <v>1.7</v>
      </c>
      <c r="X169" s="226">
        <v>1.8</v>
      </c>
      <c r="Y169" s="226">
        <v>1.7</v>
      </c>
      <c r="Z169" s="226">
        <v>1.5</v>
      </c>
      <c r="AA169" s="226">
        <v>1.1000000000000001</v>
      </c>
      <c r="AC169" s="195" t="s">
        <v>7</v>
      </c>
      <c r="AD169" s="69">
        <f t="shared" si="138"/>
        <v>990.57</v>
      </c>
      <c r="AE169" s="69">
        <f t="shared" si="119"/>
        <v>1352.7239999999999</v>
      </c>
      <c r="AF169" s="69">
        <f t="shared" si="120"/>
        <v>1196.288</v>
      </c>
      <c r="AG169" s="69">
        <f t="shared" si="121"/>
        <v>1274.6880000000001</v>
      </c>
      <c r="AH169" s="69">
        <f t="shared" si="122"/>
        <v>1431.91</v>
      </c>
      <c r="AI169" s="69">
        <f t="shared" si="123"/>
        <v>1574.1</v>
      </c>
      <c r="AJ169" s="69">
        <f t="shared" si="124"/>
        <v>1474.9879999999998</v>
      </c>
      <c r="AK169" s="69">
        <f t="shared" si="135"/>
        <v>1246.47</v>
      </c>
      <c r="AL169" s="69">
        <f t="shared" si="136"/>
        <v>941.20400000000006</v>
      </c>
      <c r="AN169" s="195" t="s">
        <v>7</v>
      </c>
      <c r="AO169" s="98">
        <f t="shared" ref="AO169:AW169" si="152">H169/H169</f>
        <v>1</v>
      </c>
      <c r="AP169" s="98">
        <f t="shared" si="152"/>
        <v>1</v>
      </c>
      <c r="AQ169" s="98">
        <f t="shared" si="152"/>
        <v>1</v>
      </c>
      <c r="AR169" s="98">
        <f t="shared" si="152"/>
        <v>1</v>
      </c>
      <c r="AS169" s="98">
        <f t="shared" si="152"/>
        <v>1</v>
      </c>
      <c r="AT169" s="98">
        <f t="shared" si="152"/>
        <v>1</v>
      </c>
      <c r="AU169" s="98">
        <f t="shared" si="152"/>
        <v>1</v>
      </c>
      <c r="AV169" s="98">
        <f t="shared" si="152"/>
        <v>1</v>
      </c>
      <c r="AW169" s="98">
        <f t="shared" si="152"/>
        <v>1</v>
      </c>
      <c r="AX169" s="191"/>
      <c r="AY169" s="195" t="s">
        <v>7</v>
      </c>
      <c r="AZ169" s="178">
        <f t="shared" si="126"/>
        <v>0.03</v>
      </c>
      <c r="BA169" s="178">
        <f t="shared" si="127"/>
        <v>3.7999999999999999E-2</v>
      </c>
      <c r="BB169" s="178">
        <f t="shared" si="128"/>
        <v>3.2000000000000001E-2</v>
      </c>
      <c r="BC169" s="178">
        <f t="shared" si="129"/>
        <v>3.2000000000000001E-2</v>
      </c>
      <c r="BD169" s="178">
        <f t="shared" si="130"/>
        <v>3.4000000000000002E-2</v>
      </c>
      <c r="BE169" s="178">
        <f t="shared" si="131"/>
        <v>3.6000000000000004E-2</v>
      </c>
      <c r="BF169" s="178">
        <f t="shared" si="132"/>
        <v>3.4000000000000002E-2</v>
      </c>
      <c r="BG169" s="178">
        <f t="shared" si="133"/>
        <v>0.03</v>
      </c>
      <c r="BH169" s="178">
        <f t="shared" si="134"/>
        <v>2.2000000000000002E-2</v>
      </c>
      <c r="BI169" s="191"/>
      <c r="BJ169" s="191"/>
      <c r="BK169" s="191"/>
      <c r="BL169" s="191"/>
      <c r="BM169" s="191"/>
      <c r="BN169" s="191"/>
      <c r="BO169" s="191"/>
      <c r="BP169" s="191"/>
    </row>
    <row r="170" spans="2:68" s="108" customFormat="1" x14ac:dyDescent="0.25">
      <c r="B170" s="107"/>
      <c r="E170" s="109" t="s">
        <v>3</v>
      </c>
      <c r="F170" s="110" t="s">
        <v>53</v>
      </c>
      <c r="G170" s="111" t="s">
        <v>54</v>
      </c>
      <c r="H170" s="112">
        <v>9484</v>
      </c>
      <c r="I170" s="112">
        <v>8632</v>
      </c>
      <c r="J170" s="112">
        <v>10318</v>
      </c>
      <c r="K170" s="112">
        <v>9729</v>
      </c>
      <c r="L170" s="112">
        <v>11070</v>
      </c>
      <c r="M170" s="112">
        <v>9677</v>
      </c>
      <c r="N170" s="112">
        <v>9837</v>
      </c>
      <c r="O170" s="112">
        <v>7387</v>
      </c>
      <c r="P170" s="112">
        <v>9026</v>
      </c>
      <c r="R170" s="111" t="s">
        <v>54</v>
      </c>
      <c r="S170" s="220">
        <v>7.3</v>
      </c>
      <c r="T170" s="220">
        <v>10.199999999999999</v>
      </c>
      <c r="U170" s="220">
        <v>9.6</v>
      </c>
      <c r="V170" s="220">
        <v>8.9</v>
      </c>
      <c r="W170" s="220">
        <v>8.3000000000000007</v>
      </c>
      <c r="X170" s="220">
        <v>11</v>
      </c>
      <c r="Y170" s="220">
        <v>10.1</v>
      </c>
      <c r="Z170" s="220">
        <v>11</v>
      </c>
      <c r="AA170" s="220">
        <v>9.3000000000000007</v>
      </c>
      <c r="AC170" s="111" t="s">
        <v>54</v>
      </c>
      <c r="AD170" s="112">
        <f t="shared" si="138"/>
        <v>1384.664</v>
      </c>
      <c r="AE170" s="112">
        <f t="shared" si="119"/>
        <v>1760.9279999999999</v>
      </c>
      <c r="AF170" s="112">
        <f t="shared" si="120"/>
        <v>1981.056</v>
      </c>
      <c r="AG170" s="112">
        <f t="shared" si="121"/>
        <v>1731.7620000000002</v>
      </c>
      <c r="AH170" s="112">
        <f t="shared" si="122"/>
        <v>1837.6200000000003</v>
      </c>
      <c r="AI170" s="112">
        <f t="shared" si="123"/>
        <v>2128.94</v>
      </c>
      <c r="AJ170" s="112">
        <f t="shared" si="124"/>
        <v>1987.0739999999998</v>
      </c>
      <c r="AK170" s="112">
        <f t="shared" si="135"/>
        <v>1625.14</v>
      </c>
      <c r="AL170" s="112">
        <f t="shared" si="136"/>
        <v>1678.836</v>
      </c>
      <c r="AN170" s="111" t="s">
        <v>54</v>
      </c>
      <c r="AO170" s="113">
        <f t="shared" ref="AO170:AW170" si="153">H170/H169</f>
        <v>0.2872285653714528</v>
      </c>
      <c r="AP170" s="113">
        <f t="shared" si="153"/>
        <v>0.24248553289510646</v>
      </c>
      <c r="AQ170" s="113">
        <f t="shared" si="153"/>
        <v>0.27600042799058422</v>
      </c>
      <c r="AR170" s="113">
        <f t="shared" si="153"/>
        <v>0.24423859014911883</v>
      </c>
      <c r="AS170" s="113">
        <f t="shared" si="153"/>
        <v>0.26285171554078118</v>
      </c>
      <c r="AT170" s="113">
        <f t="shared" si="153"/>
        <v>0.22131503716409376</v>
      </c>
      <c r="AU170" s="113">
        <f t="shared" si="153"/>
        <v>0.22675303121110138</v>
      </c>
      <c r="AV170" s="113">
        <f t="shared" si="153"/>
        <v>0.17779007918361453</v>
      </c>
      <c r="AW170" s="113">
        <f t="shared" si="153"/>
        <v>0.21097657893506616</v>
      </c>
      <c r="AY170" s="111" t="s">
        <v>54</v>
      </c>
      <c r="AZ170" s="179">
        <f t="shared" si="126"/>
        <v>4.193537054423211E-2</v>
      </c>
      <c r="BA170" s="179">
        <f t="shared" si="127"/>
        <v>4.9467048710601709E-2</v>
      </c>
      <c r="BB170" s="179">
        <f t="shared" si="128"/>
        <v>5.299208217419217E-2</v>
      </c>
      <c r="BC170" s="179">
        <f t="shared" si="129"/>
        <v>4.3474469046543153E-2</v>
      </c>
      <c r="BD170" s="179">
        <f t="shared" si="130"/>
        <v>4.3633384779769677E-2</v>
      </c>
      <c r="BE170" s="179">
        <f t="shared" si="131"/>
        <v>4.8689308176100628E-2</v>
      </c>
      <c r="BF170" s="179">
        <f t="shared" si="132"/>
        <v>4.5804112304642472E-2</v>
      </c>
      <c r="BG170" s="179">
        <f t="shared" si="133"/>
        <v>3.9113817420395193E-2</v>
      </c>
      <c r="BH170" s="179">
        <f t="shared" si="134"/>
        <v>3.924164368192231E-2</v>
      </c>
    </row>
    <row r="171" spans="2:68" s="108" customFormat="1" x14ac:dyDescent="0.25">
      <c r="B171" s="107"/>
      <c r="E171" s="109" t="s">
        <v>3</v>
      </c>
      <c r="F171" s="110" t="s">
        <v>53</v>
      </c>
      <c r="G171" s="111" t="s">
        <v>55</v>
      </c>
      <c r="H171" s="70">
        <v>11310</v>
      </c>
      <c r="I171" s="70">
        <v>13447</v>
      </c>
      <c r="J171" s="112">
        <v>15870</v>
      </c>
      <c r="K171" s="112">
        <v>14778</v>
      </c>
      <c r="L171" s="112">
        <v>16842</v>
      </c>
      <c r="M171" s="112">
        <v>16355</v>
      </c>
      <c r="N171" s="112">
        <v>18446</v>
      </c>
      <c r="O171" s="112">
        <v>16713</v>
      </c>
      <c r="P171" s="112">
        <v>17059</v>
      </c>
      <c r="R171" s="111" t="s">
        <v>55</v>
      </c>
      <c r="S171" s="81">
        <v>6.7</v>
      </c>
      <c r="T171" s="81">
        <v>7.2</v>
      </c>
      <c r="U171" s="81">
        <v>6.6</v>
      </c>
      <c r="V171" s="81">
        <v>6.4</v>
      </c>
      <c r="W171" s="81">
        <v>6.7</v>
      </c>
      <c r="X171" s="81">
        <v>7.4</v>
      </c>
      <c r="Y171" s="81">
        <v>6.2</v>
      </c>
      <c r="Z171" s="81">
        <v>6.1</v>
      </c>
      <c r="AA171" s="81">
        <v>5.8</v>
      </c>
      <c r="AC171" s="111" t="s">
        <v>55</v>
      </c>
      <c r="AD171" s="70">
        <f t="shared" si="138"/>
        <v>1515.54</v>
      </c>
      <c r="AE171" s="70">
        <f t="shared" si="119"/>
        <v>1936.3680000000002</v>
      </c>
      <c r="AF171" s="70">
        <f t="shared" si="120"/>
        <v>2094.84</v>
      </c>
      <c r="AG171" s="70">
        <f t="shared" si="121"/>
        <v>1891.5840000000003</v>
      </c>
      <c r="AH171" s="70">
        <f t="shared" si="122"/>
        <v>2256.828</v>
      </c>
      <c r="AI171" s="70">
        <f t="shared" si="123"/>
        <v>2420.54</v>
      </c>
      <c r="AJ171" s="70">
        <f t="shared" si="124"/>
        <v>2287.3040000000001</v>
      </c>
      <c r="AK171" s="70">
        <f t="shared" si="135"/>
        <v>2038.9859999999999</v>
      </c>
      <c r="AL171" s="70">
        <f t="shared" si="136"/>
        <v>1978.8440000000001</v>
      </c>
      <c r="AN171" s="111" t="s">
        <v>55</v>
      </c>
      <c r="AO171" s="113">
        <f t="shared" ref="AO171:AW171" si="154">H171/H169</f>
        <v>0.34253005845119477</v>
      </c>
      <c r="AP171" s="113">
        <f t="shared" si="154"/>
        <v>0.37774594078319007</v>
      </c>
      <c r="AQ171" s="113">
        <f t="shared" si="154"/>
        <v>0.42451316071046435</v>
      </c>
      <c r="AR171" s="113">
        <f t="shared" si="154"/>
        <v>0.3709896068685043</v>
      </c>
      <c r="AS171" s="113">
        <f t="shared" si="154"/>
        <v>0.39990502196367089</v>
      </c>
      <c r="AT171" s="113">
        <f t="shared" si="154"/>
        <v>0.3740423098913665</v>
      </c>
      <c r="AU171" s="113">
        <f t="shared" si="154"/>
        <v>0.42519939145267621</v>
      </c>
      <c r="AV171" s="113">
        <f t="shared" si="154"/>
        <v>0.40224794820573301</v>
      </c>
      <c r="AW171" s="113">
        <f t="shared" si="154"/>
        <v>0.39874246178299283</v>
      </c>
      <c r="AY171" s="111" t="s">
        <v>55</v>
      </c>
      <c r="AZ171" s="179">
        <f t="shared" si="126"/>
        <v>4.5899027832460096E-2</v>
      </c>
      <c r="BA171" s="179">
        <f t="shared" si="127"/>
        <v>5.4395415472779367E-2</v>
      </c>
      <c r="BB171" s="179">
        <f t="shared" si="128"/>
        <v>5.6035737213781293E-2</v>
      </c>
      <c r="BC171" s="179">
        <f t="shared" si="129"/>
        <v>4.748666967916855E-2</v>
      </c>
      <c r="BD171" s="179">
        <f t="shared" si="130"/>
        <v>5.3587272943131897E-2</v>
      </c>
      <c r="BE171" s="179">
        <f t="shared" si="131"/>
        <v>5.5358261863922245E-2</v>
      </c>
      <c r="BF171" s="179">
        <f t="shared" si="132"/>
        <v>5.272472454013185E-2</v>
      </c>
      <c r="BG171" s="179">
        <f t="shared" si="133"/>
        <v>4.907424968109942E-2</v>
      </c>
      <c r="BH171" s="179">
        <f t="shared" si="134"/>
        <v>4.6254125566827169E-2</v>
      </c>
    </row>
    <row r="172" spans="2:68" s="108" customFormat="1" x14ac:dyDescent="0.25">
      <c r="B172" s="107"/>
      <c r="E172" s="109" t="s">
        <v>3</v>
      </c>
      <c r="F172" s="110" t="s">
        <v>53</v>
      </c>
      <c r="G172" s="111" t="s">
        <v>130</v>
      </c>
      <c r="H172" s="70">
        <v>4275</v>
      </c>
      <c r="I172" s="70">
        <v>3965</v>
      </c>
      <c r="J172" s="70">
        <v>5291</v>
      </c>
      <c r="K172" s="70">
        <v>4200</v>
      </c>
      <c r="L172" s="70">
        <v>3951</v>
      </c>
      <c r="M172" s="70">
        <v>5178</v>
      </c>
      <c r="N172" s="70">
        <v>5316</v>
      </c>
      <c r="O172" s="112">
        <v>5516</v>
      </c>
      <c r="P172" s="112">
        <v>5531</v>
      </c>
      <c r="R172" s="111" t="s">
        <v>130</v>
      </c>
      <c r="S172" s="220">
        <v>12</v>
      </c>
      <c r="T172" s="220">
        <v>17.7</v>
      </c>
      <c r="U172" s="220">
        <v>14</v>
      </c>
      <c r="V172" s="220">
        <v>14.1</v>
      </c>
      <c r="W172" s="220">
        <v>18.8</v>
      </c>
      <c r="X172" s="220">
        <v>15.6</v>
      </c>
      <c r="Y172" s="220">
        <v>14.3</v>
      </c>
      <c r="Z172" s="220">
        <v>13.4</v>
      </c>
      <c r="AA172" s="220">
        <v>13.6</v>
      </c>
      <c r="AC172" s="111" t="s">
        <v>130</v>
      </c>
      <c r="AD172" s="70">
        <f t="shared" si="138"/>
        <v>1026</v>
      </c>
      <c r="AE172" s="70">
        <f t="shared" si="119"/>
        <v>1403.61</v>
      </c>
      <c r="AF172" s="70">
        <f t="shared" si="120"/>
        <v>1481.48</v>
      </c>
      <c r="AG172" s="70">
        <f t="shared" si="121"/>
        <v>1184.4000000000001</v>
      </c>
      <c r="AH172" s="70">
        <f t="shared" si="122"/>
        <v>1485.576</v>
      </c>
      <c r="AI172" s="70">
        <f t="shared" si="123"/>
        <v>1615.5360000000001</v>
      </c>
      <c r="AJ172" s="70">
        <f t="shared" si="124"/>
        <v>1520.376</v>
      </c>
      <c r="AK172" s="70">
        <f t="shared" si="135"/>
        <v>1478.2880000000002</v>
      </c>
      <c r="AL172" s="70">
        <f t="shared" si="136"/>
        <v>1504.4319999999998</v>
      </c>
      <c r="AN172" s="111" t="s">
        <v>130</v>
      </c>
      <c r="AO172" s="113">
        <f t="shared" ref="AO172:AW172" si="155">H172/H169</f>
        <v>0.12947091068778582</v>
      </c>
      <c r="AP172" s="113">
        <f t="shared" si="155"/>
        <v>0.11138266194730041</v>
      </c>
      <c r="AQ172" s="113">
        <f t="shared" si="155"/>
        <v>0.14153113631500108</v>
      </c>
      <c r="AR172" s="113">
        <f t="shared" si="155"/>
        <v>0.10543756589847869</v>
      </c>
      <c r="AS172" s="113">
        <f t="shared" si="155"/>
        <v>9.3814555384067438E-2</v>
      </c>
      <c r="AT172" s="113">
        <f t="shared" si="155"/>
        <v>0.11842195540308748</v>
      </c>
      <c r="AU172" s="113">
        <f t="shared" si="155"/>
        <v>0.12253930201466046</v>
      </c>
      <c r="AV172" s="113">
        <f t="shared" si="155"/>
        <v>0.13275891116513033</v>
      </c>
      <c r="AW172" s="113">
        <f t="shared" si="155"/>
        <v>0.12928334346220374</v>
      </c>
      <c r="AY172" s="111" t="s">
        <v>130</v>
      </c>
      <c r="AZ172" s="179">
        <f t="shared" si="126"/>
        <v>3.1073018565068597E-2</v>
      </c>
      <c r="BA172" s="179">
        <f t="shared" si="127"/>
        <v>3.9429462329344342E-2</v>
      </c>
      <c r="BB172" s="179">
        <f t="shared" si="128"/>
        <v>3.9628718168200301E-2</v>
      </c>
      <c r="BC172" s="179">
        <f t="shared" si="129"/>
        <v>2.9733393583370987E-2</v>
      </c>
      <c r="BD172" s="179">
        <f t="shared" si="130"/>
        <v>3.5274272824409356E-2</v>
      </c>
      <c r="BE172" s="179">
        <f t="shared" si="131"/>
        <v>3.6947650085763291E-2</v>
      </c>
      <c r="BF172" s="179">
        <f t="shared" si="132"/>
        <v>3.5046240376192889E-2</v>
      </c>
      <c r="BG172" s="179">
        <f t="shared" si="133"/>
        <v>3.5579388192254931E-2</v>
      </c>
      <c r="BH172" s="179">
        <f t="shared" si="134"/>
        <v>3.5165069421719417E-2</v>
      </c>
    </row>
    <row r="173" spans="2:68" s="108" customFormat="1" x14ac:dyDescent="0.25">
      <c r="B173" s="107"/>
      <c r="E173" s="109" t="s">
        <v>3</v>
      </c>
      <c r="F173" s="110" t="s">
        <v>53</v>
      </c>
      <c r="G173" s="111" t="s">
        <v>131</v>
      </c>
      <c r="H173" s="112">
        <v>7950</v>
      </c>
      <c r="I173" s="112">
        <v>9553</v>
      </c>
      <c r="J173" s="112">
        <v>5904</v>
      </c>
      <c r="K173" s="112">
        <v>11127</v>
      </c>
      <c r="L173" s="112">
        <v>10252</v>
      </c>
      <c r="M173" s="112">
        <v>12515</v>
      </c>
      <c r="N173" s="112">
        <v>9783</v>
      </c>
      <c r="O173" s="112">
        <v>11933</v>
      </c>
      <c r="P173" s="112">
        <v>11166</v>
      </c>
      <c r="R173" s="111" t="s">
        <v>131</v>
      </c>
      <c r="S173" s="220">
        <v>9.1</v>
      </c>
      <c r="T173" s="220">
        <v>9.3000000000000007</v>
      </c>
      <c r="U173" s="220">
        <v>12.7</v>
      </c>
      <c r="V173" s="220">
        <v>8</v>
      </c>
      <c r="W173" s="220">
        <v>9.4</v>
      </c>
      <c r="X173" s="220">
        <v>9.1999999999999993</v>
      </c>
      <c r="Y173" s="220">
        <v>10.1</v>
      </c>
      <c r="Z173" s="220">
        <v>7.9</v>
      </c>
      <c r="AA173" s="220">
        <v>5.0999999999999996</v>
      </c>
      <c r="AC173" s="111" t="s">
        <v>131</v>
      </c>
      <c r="AD173" s="112">
        <f t="shared" si="138"/>
        <v>1446.9</v>
      </c>
      <c r="AE173" s="112">
        <f t="shared" si="119"/>
        <v>1776.8580000000002</v>
      </c>
      <c r="AF173" s="112">
        <f t="shared" si="120"/>
        <v>1499.616</v>
      </c>
      <c r="AG173" s="112">
        <f t="shared" si="121"/>
        <v>1780.32</v>
      </c>
      <c r="AH173" s="112">
        <f t="shared" si="122"/>
        <v>1927.376</v>
      </c>
      <c r="AI173" s="112">
        <f t="shared" si="123"/>
        <v>2302.7599999999998</v>
      </c>
      <c r="AJ173" s="112">
        <f t="shared" si="124"/>
        <v>1976.1660000000002</v>
      </c>
      <c r="AK173" s="112">
        <f t="shared" si="135"/>
        <v>1885.414</v>
      </c>
      <c r="AL173" s="112">
        <f t="shared" si="136"/>
        <v>1138.932</v>
      </c>
      <c r="AN173" s="111" t="s">
        <v>131</v>
      </c>
      <c r="AO173" s="113">
        <f t="shared" ref="AO173:AW173" si="156">H173/H169</f>
        <v>0.24077046548956663</v>
      </c>
      <c r="AP173" s="113">
        <f t="shared" si="156"/>
        <v>0.26835777290859036</v>
      </c>
      <c r="AQ173" s="113">
        <f t="shared" si="156"/>
        <v>0.15792852557243742</v>
      </c>
      <c r="AR173" s="113">
        <f t="shared" si="156"/>
        <v>0.27933423708389815</v>
      </c>
      <c r="AS173" s="113">
        <f t="shared" si="156"/>
        <v>0.24342870711148046</v>
      </c>
      <c r="AT173" s="113">
        <f t="shared" si="156"/>
        <v>0.28622069754145224</v>
      </c>
      <c r="AU173" s="113">
        <f t="shared" si="156"/>
        <v>0.22550827532156195</v>
      </c>
      <c r="AV173" s="113">
        <f t="shared" si="156"/>
        <v>0.28720306144552216</v>
      </c>
      <c r="AW173" s="113">
        <f t="shared" si="156"/>
        <v>0.26099761581973729</v>
      </c>
      <c r="AY173" s="111" t="s">
        <v>131</v>
      </c>
      <c r="AZ173" s="179">
        <f t="shared" si="126"/>
        <v>4.3820224719101131E-2</v>
      </c>
      <c r="BA173" s="179">
        <f t="shared" si="127"/>
        <v>4.9914545760997811E-2</v>
      </c>
      <c r="BB173" s="179">
        <f t="shared" si="128"/>
        <v>4.0113845495399099E-2</v>
      </c>
      <c r="BC173" s="179">
        <f t="shared" si="129"/>
        <v>4.4693477933423702E-2</v>
      </c>
      <c r="BD173" s="179">
        <f t="shared" si="130"/>
        <v>4.5764596936958328E-2</v>
      </c>
      <c r="BE173" s="179">
        <f t="shared" si="131"/>
        <v>5.2664608347627206E-2</v>
      </c>
      <c r="BF173" s="179">
        <f t="shared" si="132"/>
        <v>4.5552671614955506E-2</v>
      </c>
      <c r="BG173" s="179">
        <f t="shared" si="133"/>
        <v>4.5378083708392497E-2</v>
      </c>
      <c r="BH173" s="179">
        <f t="shared" si="134"/>
        <v>2.6621756813613201E-2</v>
      </c>
    </row>
    <row r="174" spans="2:68" s="87" customFormat="1" x14ac:dyDescent="0.25">
      <c r="B174" s="84"/>
      <c r="C174" s="85"/>
      <c r="D174" s="85"/>
      <c r="E174" s="109" t="s">
        <v>45</v>
      </c>
      <c r="F174" s="110" t="s">
        <v>53</v>
      </c>
      <c r="G174" s="195" t="s">
        <v>7</v>
      </c>
      <c r="H174" s="69">
        <v>17104</v>
      </c>
      <c r="I174" s="69">
        <v>17349</v>
      </c>
      <c r="J174" s="69">
        <v>17849</v>
      </c>
      <c r="K174" s="69">
        <v>18748</v>
      </c>
      <c r="L174" s="69">
        <v>19935</v>
      </c>
      <c r="M174" s="69">
        <v>22219</v>
      </c>
      <c r="N174" s="69">
        <v>23879</v>
      </c>
      <c r="O174" s="69">
        <v>25998</v>
      </c>
      <c r="P174" s="69">
        <v>27616</v>
      </c>
      <c r="R174" s="195" t="s">
        <v>7</v>
      </c>
      <c r="S174" s="226">
        <v>1.9</v>
      </c>
      <c r="T174" s="226">
        <v>2.5</v>
      </c>
      <c r="U174" s="226">
        <v>2.5</v>
      </c>
      <c r="V174" s="226">
        <v>2.2000000000000002</v>
      </c>
      <c r="W174" s="226">
        <v>2.4</v>
      </c>
      <c r="X174" s="226">
        <v>2.5</v>
      </c>
      <c r="Y174" s="226">
        <v>2.2000000000000002</v>
      </c>
      <c r="Z174" s="226">
        <v>2</v>
      </c>
      <c r="AA174" s="226">
        <v>2</v>
      </c>
      <c r="AC174" s="195" t="s">
        <v>7</v>
      </c>
      <c r="AD174" s="69">
        <f t="shared" si="138"/>
        <v>649.952</v>
      </c>
      <c r="AE174" s="69">
        <f t="shared" si="119"/>
        <v>867.45</v>
      </c>
      <c r="AF174" s="69">
        <f t="shared" si="120"/>
        <v>892.45</v>
      </c>
      <c r="AG174" s="69">
        <f t="shared" si="121"/>
        <v>824.91200000000015</v>
      </c>
      <c r="AH174" s="69">
        <f t="shared" si="122"/>
        <v>956.88</v>
      </c>
      <c r="AI174" s="69">
        <f t="shared" si="123"/>
        <v>1110.95</v>
      </c>
      <c r="AJ174" s="69">
        <f t="shared" si="124"/>
        <v>1050.6760000000002</v>
      </c>
      <c r="AK174" s="69">
        <f t="shared" si="135"/>
        <v>1039.92</v>
      </c>
      <c r="AL174" s="69">
        <f t="shared" si="136"/>
        <v>1104.6400000000001</v>
      </c>
      <c r="AN174" s="195" t="s">
        <v>7</v>
      </c>
      <c r="AO174" s="98">
        <f t="shared" ref="AO174:AW174" si="157">H174/H174</f>
        <v>1</v>
      </c>
      <c r="AP174" s="98">
        <f t="shared" si="157"/>
        <v>1</v>
      </c>
      <c r="AQ174" s="98">
        <f t="shared" si="157"/>
        <v>1</v>
      </c>
      <c r="AR174" s="98">
        <f t="shared" si="157"/>
        <v>1</v>
      </c>
      <c r="AS174" s="98">
        <f t="shared" si="157"/>
        <v>1</v>
      </c>
      <c r="AT174" s="98">
        <f t="shared" si="157"/>
        <v>1</v>
      </c>
      <c r="AU174" s="98">
        <f t="shared" si="157"/>
        <v>1</v>
      </c>
      <c r="AV174" s="98">
        <f t="shared" si="157"/>
        <v>1</v>
      </c>
      <c r="AW174" s="98">
        <f t="shared" si="157"/>
        <v>1</v>
      </c>
      <c r="AX174" s="191"/>
      <c r="AY174" s="195" t="s">
        <v>7</v>
      </c>
      <c r="AZ174" s="178">
        <f t="shared" si="126"/>
        <v>3.7999999999999999E-2</v>
      </c>
      <c r="BA174" s="178">
        <f t="shared" si="127"/>
        <v>0.05</v>
      </c>
      <c r="BB174" s="178">
        <f t="shared" si="128"/>
        <v>0.05</v>
      </c>
      <c r="BC174" s="178">
        <f t="shared" si="129"/>
        <v>4.4000000000000004E-2</v>
      </c>
      <c r="BD174" s="178">
        <f t="shared" si="130"/>
        <v>4.8000000000000001E-2</v>
      </c>
      <c r="BE174" s="178">
        <f t="shared" si="131"/>
        <v>0.05</v>
      </c>
      <c r="BF174" s="178">
        <f t="shared" si="132"/>
        <v>4.4000000000000004E-2</v>
      </c>
      <c r="BG174" s="178">
        <f t="shared" si="133"/>
        <v>0.04</v>
      </c>
      <c r="BH174" s="178">
        <f t="shared" si="134"/>
        <v>0.04</v>
      </c>
      <c r="BI174" s="191"/>
      <c r="BJ174" s="191"/>
      <c r="BK174" s="191"/>
      <c r="BL174" s="191"/>
      <c r="BM174" s="191"/>
      <c r="BN174" s="191"/>
      <c r="BO174" s="191"/>
      <c r="BP174" s="191"/>
    </row>
    <row r="175" spans="2:68" s="108" customFormat="1" x14ac:dyDescent="0.25">
      <c r="B175" s="107"/>
      <c r="E175" s="109" t="s">
        <v>45</v>
      </c>
      <c r="F175" s="110" t="s">
        <v>53</v>
      </c>
      <c r="G175" s="111" t="s">
        <v>54</v>
      </c>
      <c r="H175" s="112">
        <v>2394</v>
      </c>
      <c r="I175" s="112">
        <v>2082</v>
      </c>
      <c r="J175" s="112">
        <v>1968</v>
      </c>
      <c r="K175" s="112">
        <v>2175</v>
      </c>
      <c r="L175" s="112">
        <v>1514</v>
      </c>
      <c r="M175" s="112">
        <v>2631</v>
      </c>
      <c r="N175" s="112">
        <v>1671</v>
      </c>
      <c r="O175" s="112">
        <v>2082</v>
      </c>
      <c r="P175" s="112">
        <v>3183</v>
      </c>
      <c r="R175" s="111" t="s">
        <v>54</v>
      </c>
      <c r="S175" s="220">
        <v>17</v>
      </c>
      <c r="T175" s="220">
        <v>21.7</v>
      </c>
      <c r="U175" s="220">
        <v>31.2</v>
      </c>
      <c r="V175" s="220">
        <v>19.899999999999999</v>
      </c>
      <c r="W175" s="220">
        <v>33.200000000000003</v>
      </c>
      <c r="X175" s="220">
        <v>24.7</v>
      </c>
      <c r="Y175" s="220">
        <v>32.9</v>
      </c>
      <c r="Z175" s="220">
        <v>21.8</v>
      </c>
      <c r="AA175" s="220">
        <v>17</v>
      </c>
      <c r="AC175" s="111" t="s">
        <v>54</v>
      </c>
      <c r="AD175" s="112">
        <f t="shared" si="138"/>
        <v>813.96</v>
      </c>
      <c r="AE175" s="112">
        <f t="shared" si="119"/>
        <v>903.58800000000008</v>
      </c>
      <c r="AF175" s="112">
        <f t="shared" si="120"/>
        <v>1228.0319999999999</v>
      </c>
      <c r="AG175" s="112">
        <f t="shared" si="121"/>
        <v>865.65</v>
      </c>
      <c r="AH175" s="112">
        <f t="shared" si="122"/>
        <v>1005.296</v>
      </c>
      <c r="AI175" s="112">
        <f t="shared" si="123"/>
        <v>1299.7139999999999</v>
      </c>
      <c r="AJ175" s="112">
        <f t="shared" si="124"/>
        <v>1099.5179999999998</v>
      </c>
      <c r="AK175" s="112">
        <f t="shared" si="135"/>
        <v>907.75199999999995</v>
      </c>
      <c r="AL175" s="112">
        <f t="shared" si="136"/>
        <v>1082.22</v>
      </c>
      <c r="AN175" s="111" t="s">
        <v>54</v>
      </c>
      <c r="AO175" s="113">
        <f t="shared" ref="AO175:AW175" si="158">H175/H174</f>
        <v>0.13996725912067354</v>
      </c>
      <c r="AP175" s="113">
        <f t="shared" si="158"/>
        <v>0.12000691682517724</v>
      </c>
      <c r="AQ175" s="113">
        <f t="shared" si="158"/>
        <v>0.11025827777466525</v>
      </c>
      <c r="AR175" s="113">
        <f t="shared" si="158"/>
        <v>0.11601237465329635</v>
      </c>
      <c r="AS175" s="113">
        <f t="shared" si="158"/>
        <v>7.5946827188362181E-2</v>
      </c>
      <c r="AT175" s="113">
        <f t="shared" si="158"/>
        <v>0.11841216976461587</v>
      </c>
      <c r="AU175" s="113">
        <f t="shared" si="158"/>
        <v>6.9977804765693707E-2</v>
      </c>
      <c r="AV175" s="113">
        <f t="shared" si="158"/>
        <v>8.0083083314101078E-2</v>
      </c>
      <c r="AW175" s="113">
        <f t="shared" si="158"/>
        <v>0.11525926998841252</v>
      </c>
      <c r="AY175" s="111" t="s">
        <v>54</v>
      </c>
      <c r="AZ175" s="179">
        <f t="shared" si="126"/>
        <v>4.7588868101029004E-2</v>
      </c>
      <c r="BA175" s="179">
        <f t="shared" si="127"/>
        <v>5.2083001902126919E-2</v>
      </c>
      <c r="BB175" s="179">
        <f t="shared" si="128"/>
        <v>6.880116533139112E-2</v>
      </c>
      <c r="BC175" s="179">
        <f t="shared" si="129"/>
        <v>4.6172925112011945E-2</v>
      </c>
      <c r="BD175" s="179">
        <f t="shared" si="130"/>
        <v>5.042869325307249E-2</v>
      </c>
      <c r="BE175" s="179">
        <f t="shared" si="131"/>
        <v>5.8495611863720237E-2</v>
      </c>
      <c r="BF175" s="179">
        <f t="shared" si="132"/>
        <v>4.6045395535826456E-2</v>
      </c>
      <c r="BG175" s="179">
        <f t="shared" si="133"/>
        <v>3.4916224324948071E-2</v>
      </c>
      <c r="BH175" s="179">
        <f t="shared" si="134"/>
        <v>3.9188151796060257E-2</v>
      </c>
    </row>
    <row r="176" spans="2:68" s="108" customFormat="1" x14ac:dyDescent="0.25">
      <c r="B176" s="107"/>
      <c r="E176" s="109" t="s">
        <v>45</v>
      </c>
      <c r="F176" s="110" t="s">
        <v>53</v>
      </c>
      <c r="G176" s="111" t="s">
        <v>55</v>
      </c>
      <c r="H176" s="70">
        <v>6880</v>
      </c>
      <c r="I176" s="70">
        <v>7646</v>
      </c>
      <c r="J176" s="70">
        <v>7473</v>
      </c>
      <c r="K176" s="70">
        <v>8696</v>
      </c>
      <c r="L176" s="70">
        <v>9456</v>
      </c>
      <c r="M176" s="70">
        <v>11580</v>
      </c>
      <c r="N176" s="70">
        <v>12423</v>
      </c>
      <c r="O176" s="112">
        <v>12245</v>
      </c>
      <c r="P176" s="112">
        <v>12015</v>
      </c>
      <c r="R176" s="111" t="s">
        <v>55</v>
      </c>
      <c r="S176" s="81">
        <v>8</v>
      </c>
      <c r="T176" s="81">
        <v>9.5</v>
      </c>
      <c r="U176" s="81">
        <v>9.6</v>
      </c>
      <c r="V176" s="81">
        <v>8.1</v>
      </c>
      <c r="W176" s="81">
        <v>8.6</v>
      </c>
      <c r="X176" s="81">
        <v>7.9</v>
      </c>
      <c r="Y176" s="81">
        <v>6.9</v>
      </c>
      <c r="Z176" s="81">
        <v>7.1</v>
      </c>
      <c r="AA176" s="81">
        <v>7.3</v>
      </c>
      <c r="AC176" s="111" t="s">
        <v>55</v>
      </c>
      <c r="AD176" s="70">
        <f t="shared" si="138"/>
        <v>1100.8</v>
      </c>
      <c r="AE176" s="70">
        <f t="shared" si="119"/>
        <v>1452.74</v>
      </c>
      <c r="AF176" s="70">
        <f t="shared" si="120"/>
        <v>1434.816</v>
      </c>
      <c r="AG176" s="70">
        <f t="shared" si="121"/>
        <v>1408.7519999999997</v>
      </c>
      <c r="AH176" s="70">
        <f t="shared" si="122"/>
        <v>1626.4319999999998</v>
      </c>
      <c r="AI176" s="70">
        <f t="shared" si="123"/>
        <v>1829.64</v>
      </c>
      <c r="AJ176" s="70">
        <f t="shared" si="124"/>
        <v>1714.3740000000003</v>
      </c>
      <c r="AK176" s="70">
        <f t="shared" si="135"/>
        <v>1738.79</v>
      </c>
      <c r="AL176" s="70">
        <f t="shared" si="136"/>
        <v>1754.19</v>
      </c>
      <c r="AN176" s="111" t="s">
        <v>55</v>
      </c>
      <c r="AO176" s="113">
        <f t="shared" ref="AO176:AW176" si="159">H176/H174</f>
        <v>0.40224508886810101</v>
      </c>
      <c r="AP176" s="113">
        <f t="shared" si="159"/>
        <v>0.44071704421004093</v>
      </c>
      <c r="AQ176" s="113">
        <f t="shared" si="159"/>
        <v>0.4186789175864194</v>
      </c>
      <c r="AR176" s="113">
        <f t="shared" si="159"/>
        <v>0.463836142521869</v>
      </c>
      <c r="AS176" s="113">
        <f t="shared" si="159"/>
        <v>0.4743416102332581</v>
      </c>
      <c r="AT176" s="113">
        <f t="shared" si="159"/>
        <v>0.52117557045771634</v>
      </c>
      <c r="AU176" s="113">
        <f t="shared" si="159"/>
        <v>0.52024791657942127</v>
      </c>
      <c r="AV176" s="113">
        <f t="shared" si="159"/>
        <v>0.47099776905915841</v>
      </c>
      <c r="AW176" s="113">
        <f t="shared" si="159"/>
        <v>0.43507387022016225</v>
      </c>
      <c r="AY176" s="111" t="s">
        <v>55</v>
      </c>
      <c r="AZ176" s="179">
        <f t="shared" si="126"/>
        <v>6.4359214218896163E-2</v>
      </c>
      <c r="BA176" s="179">
        <f t="shared" si="127"/>
        <v>8.3736238399907778E-2</v>
      </c>
      <c r="BB176" s="179">
        <f t="shared" si="128"/>
        <v>8.0386352176592513E-2</v>
      </c>
      <c r="BC176" s="179">
        <f t="shared" si="129"/>
        <v>7.514145508854278E-2</v>
      </c>
      <c r="BD176" s="179">
        <f t="shared" si="130"/>
        <v>8.1586756960120396E-2</v>
      </c>
      <c r="BE176" s="179">
        <f t="shared" si="131"/>
        <v>8.2345740132319184E-2</v>
      </c>
      <c r="BF176" s="179">
        <f t="shared" si="132"/>
        <v>7.1794212487960141E-2</v>
      </c>
      <c r="BG176" s="179">
        <f t="shared" si="133"/>
        <v>6.6881683206400491E-2</v>
      </c>
      <c r="BH176" s="179">
        <f t="shared" si="134"/>
        <v>6.3520785052143688E-2</v>
      </c>
    </row>
    <row r="177" spans="2:68" s="108" customFormat="1" x14ac:dyDescent="0.25">
      <c r="B177" s="107"/>
      <c r="E177" s="109" t="s">
        <v>45</v>
      </c>
      <c r="F177" s="110" t="s">
        <v>53</v>
      </c>
      <c r="G177" s="111" t="s">
        <v>130</v>
      </c>
      <c r="H177" s="70">
        <v>1479</v>
      </c>
      <c r="I177" s="70">
        <v>1877</v>
      </c>
      <c r="J177" s="70">
        <v>2694</v>
      </c>
      <c r="K177" s="70">
        <v>2171</v>
      </c>
      <c r="L177" s="70">
        <v>1885</v>
      </c>
      <c r="M177" s="70">
        <v>1606</v>
      </c>
      <c r="N177" s="70">
        <v>3112</v>
      </c>
      <c r="O177" s="112">
        <v>3761</v>
      </c>
      <c r="P177" s="112">
        <v>2778</v>
      </c>
      <c r="R177" s="111" t="s">
        <v>130</v>
      </c>
      <c r="S177" s="220">
        <v>24.7</v>
      </c>
      <c r="T177" s="220">
        <v>30.7</v>
      </c>
      <c r="U177" s="220">
        <v>21.4</v>
      </c>
      <c r="V177" s="220">
        <v>19.899999999999999</v>
      </c>
      <c r="W177" s="220">
        <v>32.5</v>
      </c>
      <c r="X177" s="220">
        <v>35.9</v>
      </c>
      <c r="Y177" s="220">
        <v>18.5</v>
      </c>
      <c r="Z177" s="220">
        <v>17.399999999999999</v>
      </c>
      <c r="AA177" s="220">
        <v>20.9</v>
      </c>
      <c r="AC177" s="111" t="s">
        <v>130</v>
      </c>
      <c r="AD177" s="70">
        <f t="shared" si="138"/>
        <v>730.62599999999986</v>
      </c>
      <c r="AE177" s="70">
        <f t="shared" si="119"/>
        <v>1152.4780000000001</v>
      </c>
      <c r="AF177" s="70">
        <f t="shared" si="120"/>
        <v>1153.0319999999999</v>
      </c>
      <c r="AG177" s="70">
        <f t="shared" si="121"/>
        <v>864.05799999999988</v>
      </c>
      <c r="AH177" s="70">
        <f t="shared" si="122"/>
        <v>1225.25</v>
      </c>
      <c r="AI177" s="70">
        <f t="shared" si="123"/>
        <v>1153.1079999999999</v>
      </c>
      <c r="AJ177" s="70">
        <f t="shared" si="124"/>
        <v>1151.44</v>
      </c>
      <c r="AK177" s="70">
        <f t="shared" si="135"/>
        <v>1308.828</v>
      </c>
      <c r="AL177" s="70">
        <f t="shared" si="136"/>
        <v>1161.204</v>
      </c>
      <c r="AN177" s="111" t="s">
        <v>130</v>
      </c>
      <c r="AO177" s="113">
        <f t="shared" ref="AO177:AW177" si="160">H177/H174</f>
        <v>8.6471000935453693E-2</v>
      </c>
      <c r="AP177" s="113">
        <f t="shared" si="160"/>
        <v>0.10819067381405269</v>
      </c>
      <c r="AQ177" s="113">
        <f t="shared" si="160"/>
        <v>0.15093282536836797</v>
      </c>
      <c r="AR177" s="113">
        <f t="shared" si="160"/>
        <v>0.11579901856197994</v>
      </c>
      <c r="AS177" s="113">
        <f t="shared" si="160"/>
        <v>9.4557311261600205E-2</v>
      </c>
      <c r="AT177" s="113">
        <f t="shared" si="160"/>
        <v>7.2280480669697111E-2</v>
      </c>
      <c r="AU177" s="113">
        <f t="shared" si="160"/>
        <v>0.13032371539846727</v>
      </c>
      <c r="AV177" s="113">
        <f t="shared" si="160"/>
        <v>0.14466497422878682</v>
      </c>
      <c r="AW177" s="113">
        <f t="shared" si="160"/>
        <v>0.10059385863267671</v>
      </c>
      <c r="AY177" s="111" t="s">
        <v>130</v>
      </c>
      <c r="AZ177" s="179">
        <f t="shared" si="126"/>
        <v>4.2716674462114128E-2</v>
      </c>
      <c r="BA177" s="179">
        <f t="shared" si="127"/>
        <v>6.6429073721828352E-2</v>
      </c>
      <c r="BB177" s="179">
        <f t="shared" si="128"/>
        <v>6.4599249257661487E-2</v>
      </c>
      <c r="BC177" s="179">
        <f t="shared" si="129"/>
        <v>4.6088009387668015E-2</v>
      </c>
      <c r="BD177" s="179">
        <f t="shared" si="130"/>
        <v>6.1462252320040135E-2</v>
      </c>
      <c r="BE177" s="179">
        <f t="shared" si="131"/>
        <v>5.1897385120842528E-2</v>
      </c>
      <c r="BF177" s="179">
        <f t="shared" si="132"/>
        <v>4.8219774697432889E-2</v>
      </c>
      <c r="BG177" s="179">
        <f t="shared" si="133"/>
        <v>5.034341103161781E-2</v>
      </c>
      <c r="BH177" s="179">
        <f t="shared" si="134"/>
        <v>4.2048232908458862E-2</v>
      </c>
    </row>
    <row r="178" spans="2:68" s="108" customFormat="1" x14ac:dyDescent="0.25">
      <c r="B178" s="107"/>
      <c r="E178" s="109" t="s">
        <v>45</v>
      </c>
      <c r="F178" s="110" t="s">
        <v>53</v>
      </c>
      <c r="G178" s="111" t="s">
        <v>131</v>
      </c>
      <c r="H178" s="112">
        <v>6344</v>
      </c>
      <c r="I178" s="112">
        <v>5644</v>
      </c>
      <c r="J178" s="112">
        <v>5714</v>
      </c>
      <c r="K178" s="112">
        <v>5672</v>
      </c>
      <c r="L178" s="112">
        <v>7080</v>
      </c>
      <c r="M178" s="112">
        <v>6402</v>
      </c>
      <c r="N178" s="112">
        <v>6673</v>
      </c>
      <c r="O178" s="112">
        <v>7910</v>
      </c>
      <c r="P178" s="112">
        <v>9640</v>
      </c>
      <c r="R178" s="111" t="s">
        <v>131</v>
      </c>
      <c r="S178" s="220">
        <v>8.4</v>
      </c>
      <c r="T178" s="220">
        <v>12.1</v>
      </c>
      <c r="U178" s="220">
        <v>12.3</v>
      </c>
      <c r="V178" s="220">
        <v>11.1</v>
      </c>
      <c r="W178" s="220">
        <v>10.199999999999999</v>
      </c>
      <c r="X178" s="220">
        <v>13</v>
      </c>
      <c r="Y178" s="220">
        <v>11.9</v>
      </c>
      <c r="Z178" s="220">
        <v>10</v>
      </c>
      <c r="AA178" s="220">
        <v>9.3000000000000007</v>
      </c>
      <c r="AC178" s="111" t="s">
        <v>131</v>
      </c>
      <c r="AD178" s="112">
        <f t="shared" si="138"/>
        <v>1065.7920000000001</v>
      </c>
      <c r="AE178" s="112">
        <f t="shared" si="119"/>
        <v>1365.848</v>
      </c>
      <c r="AF178" s="112">
        <f t="shared" si="120"/>
        <v>1405.644</v>
      </c>
      <c r="AG178" s="112">
        <f t="shared" si="121"/>
        <v>1259.184</v>
      </c>
      <c r="AH178" s="112">
        <f t="shared" si="122"/>
        <v>1444.32</v>
      </c>
      <c r="AI178" s="112">
        <f t="shared" si="123"/>
        <v>1664.52</v>
      </c>
      <c r="AJ178" s="112">
        <f t="shared" si="124"/>
        <v>1588.174</v>
      </c>
      <c r="AK178" s="112">
        <f t="shared" si="135"/>
        <v>1582</v>
      </c>
      <c r="AL178" s="112">
        <f t="shared" si="136"/>
        <v>1793.04</v>
      </c>
      <c r="AN178" s="111" t="s">
        <v>131</v>
      </c>
      <c r="AO178" s="113">
        <f t="shared" ref="AO178:AW178" si="161">H178/H174</f>
        <v>0.37090739008419082</v>
      </c>
      <c r="AP178" s="113">
        <f t="shared" si="161"/>
        <v>0.32532134416969277</v>
      </c>
      <c r="AQ178" s="113">
        <f t="shared" si="161"/>
        <v>0.32012997927054737</v>
      </c>
      <c r="AR178" s="113">
        <f t="shared" si="161"/>
        <v>0.30253893748666527</v>
      </c>
      <c r="AS178" s="113">
        <f t="shared" si="161"/>
        <v>0.35515425131677952</v>
      </c>
      <c r="AT178" s="113">
        <f t="shared" si="161"/>
        <v>0.28813177910797066</v>
      </c>
      <c r="AU178" s="113">
        <f t="shared" si="161"/>
        <v>0.27945056325641776</v>
      </c>
      <c r="AV178" s="113">
        <f t="shared" si="161"/>
        <v>0.30425417339795369</v>
      </c>
      <c r="AW178" s="113">
        <f t="shared" si="161"/>
        <v>0.34907300115874856</v>
      </c>
      <c r="AY178" s="111" t="s">
        <v>131</v>
      </c>
      <c r="AZ178" s="179">
        <f t="shared" si="126"/>
        <v>6.2312441534144059E-2</v>
      </c>
      <c r="BA178" s="179">
        <f t="shared" si="127"/>
        <v>7.8727765289065652E-2</v>
      </c>
      <c r="BB178" s="179">
        <f t="shared" si="128"/>
        <v>7.8751974900554661E-2</v>
      </c>
      <c r="BC178" s="179">
        <f t="shared" si="129"/>
        <v>6.7163644122039692E-2</v>
      </c>
      <c r="BD178" s="179">
        <f t="shared" si="130"/>
        <v>7.2451467268623018E-2</v>
      </c>
      <c r="BE178" s="179">
        <f t="shared" si="131"/>
        <v>7.4914262568072376E-2</v>
      </c>
      <c r="BF178" s="179">
        <f t="shared" si="132"/>
        <v>6.6509234055027427E-2</v>
      </c>
      <c r="BG178" s="179">
        <f t="shared" si="133"/>
        <v>6.085083467959073E-2</v>
      </c>
      <c r="BH178" s="179">
        <f t="shared" si="134"/>
        <v>6.4927578215527235E-2</v>
      </c>
    </row>
    <row r="179" spans="2:68" s="87" customFormat="1" x14ac:dyDescent="0.25">
      <c r="B179" s="84"/>
      <c r="C179" s="85"/>
      <c r="D179" s="85"/>
      <c r="E179" s="109" t="s">
        <v>46</v>
      </c>
      <c r="F179" s="110" t="s">
        <v>53</v>
      </c>
      <c r="G179" s="195" t="s">
        <v>7</v>
      </c>
      <c r="H179" s="69">
        <v>116327</v>
      </c>
      <c r="I179" s="69">
        <v>119409</v>
      </c>
      <c r="J179" s="69">
        <v>117477</v>
      </c>
      <c r="K179" s="69">
        <v>119371</v>
      </c>
      <c r="L179" s="69">
        <v>121907</v>
      </c>
      <c r="M179" s="69">
        <v>125024</v>
      </c>
      <c r="N179" s="69">
        <v>125593</v>
      </c>
      <c r="O179" s="69">
        <v>125599</v>
      </c>
      <c r="P179" s="69">
        <v>128848</v>
      </c>
      <c r="R179" s="195" t="s">
        <v>7</v>
      </c>
      <c r="S179" s="226">
        <v>0.8</v>
      </c>
      <c r="T179" s="226">
        <v>1</v>
      </c>
      <c r="U179" s="226">
        <v>1</v>
      </c>
      <c r="V179" s="226">
        <v>0.9</v>
      </c>
      <c r="W179" s="226">
        <v>1.1000000000000001</v>
      </c>
      <c r="X179" s="226">
        <v>1.2</v>
      </c>
      <c r="Y179" s="226">
        <v>1.1000000000000001</v>
      </c>
      <c r="Z179" s="226">
        <v>1</v>
      </c>
      <c r="AA179" s="226">
        <v>1</v>
      </c>
      <c r="AC179" s="195" t="s">
        <v>7</v>
      </c>
      <c r="AD179" s="69">
        <f t="shared" si="138"/>
        <v>1861.2320000000002</v>
      </c>
      <c r="AE179" s="69">
        <f t="shared" si="119"/>
        <v>2388.1799999999998</v>
      </c>
      <c r="AF179" s="69">
        <f t="shared" si="120"/>
        <v>2349.54</v>
      </c>
      <c r="AG179" s="69">
        <f t="shared" si="121"/>
        <v>2148.6780000000003</v>
      </c>
      <c r="AH179" s="69">
        <f t="shared" si="122"/>
        <v>2681.9540000000002</v>
      </c>
      <c r="AI179" s="69">
        <f t="shared" si="123"/>
        <v>3000.5759999999996</v>
      </c>
      <c r="AJ179" s="69">
        <f t="shared" si="124"/>
        <v>2763.0460000000003</v>
      </c>
      <c r="AK179" s="69">
        <f t="shared" si="135"/>
        <v>2511.98</v>
      </c>
      <c r="AL179" s="69">
        <f t="shared" si="136"/>
        <v>2576.96</v>
      </c>
      <c r="AN179" s="195" t="s">
        <v>7</v>
      </c>
      <c r="AO179" s="98">
        <f t="shared" ref="AO179:AW179" si="162">H179/H179</f>
        <v>1</v>
      </c>
      <c r="AP179" s="98">
        <f t="shared" si="162"/>
        <v>1</v>
      </c>
      <c r="AQ179" s="98">
        <f t="shared" si="162"/>
        <v>1</v>
      </c>
      <c r="AR179" s="98">
        <f t="shared" si="162"/>
        <v>1</v>
      </c>
      <c r="AS179" s="98">
        <f t="shared" si="162"/>
        <v>1</v>
      </c>
      <c r="AT179" s="98">
        <f t="shared" si="162"/>
        <v>1</v>
      </c>
      <c r="AU179" s="98">
        <f t="shared" si="162"/>
        <v>1</v>
      </c>
      <c r="AV179" s="98">
        <f t="shared" si="162"/>
        <v>1</v>
      </c>
      <c r="AW179" s="98">
        <f t="shared" si="162"/>
        <v>1</v>
      </c>
      <c r="AX179" s="191"/>
      <c r="AY179" s="195" t="s">
        <v>7</v>
      </c>
      <c r="AZ179" s="178">
        <f t="shared" si="126"/>
        <v>1.6E-2</v>
      </c>
      <c r="BA179" s="178">
        <f t="shared" si="127"/>
        <v>0.02</v>
      </c>
      <c r="BB179" s="178">
        <f t="shared" si="128"/>
        <v>0.02</v>
      </c>
      <c r="BC179" s="178">
        <f t="shared" si="129"/>
        <v>1.8000000000000002E-2</v>
      </c>
      <c r="BD179" s="178">
        <f t="shared" si="130"/>
        <v>2.2000000000000002E-2</v>
      </c>
      <c r="BE179" s="178">
        <f t="shared" si="131"/>
        <v>2.4E-2</v>
      </c>
      <c r="BF179" s="178">
        <f t="shared" si="132"/>
        <v>2.2000000000000002E-2</v>
      </c>
      <c r="BG179" s="178">
        <f t="shared" si="133"/>
        <v>0.02</v>
      </c>
      <c r="BH179" s="178">
        <f t="shared" si="134"/>
        <v>0.02</v>
      </c>
      <c r="BI179" s="191"/>
      <c r="BJ179" s="191"/>
      <c r="BK179" s="191"/>
      <c r="BL179" s="191"/>
      <c r="BM179" s="191"/>
      <c r="BN179" s="191"/>
      <c r="BO179" s="191"/>
      <c r="BP179" s="191"/>
    </row>
    <row r="180" spans="2:68" s="108" customFormat="1" x14ac:dyDescent="0.25">
      <c r="B180" s="107"/>
      <c r="E180" s="109" t="s">
        <v>46</v>
      </c>
      <c r="F180" s="110" t="s">
        <v>53</v>
      </c>
      <c r="G180" s="111" t="s">
        <v>54</v>
      </c>
      <c r="H180" s="112">
        <v>32411</v>
      </c>
      <c r="I180" s="112">
        <v>28197</v>
      </c>
      <c r="J180" s="112">
        <v>26031</v>
      </c>
      <c r="K180" s="112">
        <v>25328</v>
      </c>
      <c r="L180" s="112">
        <v>26632</v>
      </c>
      <c r="M180" s="112">
        <v>26791</v>
      </c>
      <c r="N180" s="112">
        <v>24365</v>
      </c>
      <c r="O180" s="112">
        <v>18972</v>
      </c>
      <c r="P180" s="112">
        <v>21914</v>
      </c>
      <c r="R180" s="111" t="s">
        <v>54</v>
      </c>
      <c r="S180" s="220">
        <v>3.9</v>
      </c>
      <c r="T180" s="220">
        <v>5.6</v>
      </c>
      <c r="U180" s="220">
        <v>5.7</v>
      </c>
      <c r="V180" s="220">
        <v>5.0999999999999996</v>
      </c>
      <c r="W180" s="220">
        <v>5.8</v>
      </c>
      <c r="X180" s="220">
        <v>6.6</v>
      </c>
      <c r="Y180" s="220">
        <v>6.2</v>
      </c>
      <c r="Z180" s="220">
        <v>7.1</v>
      </c>
      <c r="AA180" s="220">
        <v>6.3</v>
      </c>
      <c r="AC180" s="111" t="s">
        <v>54</v>
      </c>
      <c r="AD180" s="112">
        <f t="shared" si="138"/>
        <v>2528.058</v>
      </c>
      <c r="AE180" s="112">
        <f t="shared" si="119"/>
        <v>3158.0639999999999</v>
      </c>
      <c r="AF180" s="112">
        <f t="shared" si="120"/>
        <v>2967.5340000000001</v>
      </c>
      <c r="AG180" s="112">
        <f t="shared" si="121"/>
        <v>2583.4559999999997</v>
      </c>
      <c r="AH180" s="112">
        <f t="shared" si="122"/>
        <v>3089.3119999999999</v>
      </c>
      <c r="AI180" s="112">
        <f t="shared" si="123"/>
        <v>3536.4119999999994</v>
      </c>
      <c r="AJ180" s="112">
        <f t="shared" si="124"/>
        <v>3021.26</v>
      </c>
      <c r="AK180" s="112">
        <f t="shared" si="135"/>
        <v>2694.0239999999994</v>
      </c>
      <c r="AL180" s="112">
        <f t="shared" si="136"/>
        <v>2761.1639999999998</v>
      </c>
      <c r="AN180" s="111" t="s">
        <v>54</v>
      </c>
      <c r="AO180" s="113">
        <f t="shared" ref="AO180:AW180" si="163">H180/H179</f>
        <v>0.27861975293783903</v>
      </c>
      <c r="AP180" s="113">
        <f t="shared" si="163"/>
        <v>0.2361379795492802</v>
      </c>
      <c r="AQ180" s="113">
        <f t="shared" si="163"/>
        <v>0.2215837993820067</v>
      </c>
      <c r="AR180" s="113">
        <f t="shared" si="163"/>
        <v>0.21217883740607016</v>
      </c>
      <c r="AS180" s="113">
        <f t="shared" si="163"/>
        <v>0.21846161418130214</v>
      </c>
      <c r="AT180" s="113">
        <f t="shared" si="163"/>
        <v>0.21428685692347069</v>
      </c>
      <c r="AU180" s="113">
        <f t="shared" si="163"/>
        <v>0.19399966558645784</v>
      </c>
      <c r="AV180" s="113">
        <f t="shared" si="163"/>
        <v>0.15105215805858327</v>
      </c>
      <c r="AW180" s="113">
        <f t="shared" si="163"/>
        <v>0.17007636905501056</v>
      </c>
      <c r="AY180" s="111" t="s">
        <v>54</v>
      </c>
      <c r="AZ180" s="179">
        <f t="shared" si="126"/>
        <v>2.1732340729151443E-2</v>
      </c>
      <c r="BA180" s="179">
        <f t="shared" si="127"/>
        <v>2.644745370951938E-2</v>
      </c>
      <c r="BB180" s="179">
        <f t="shared" si="128"/>
        <v>2.5260553129548766E-2</v>
      </c>
      <c r="BC180" s="179">
        <f t="shared" si="129"/>
        <v>2.1642241415419153E-2</v>
      </c>
      <c r="BD180" s="179">
        <f t="shared" si="130"/>
        <v>2.5341547245031047E-2</v>
      </c>
      <c r="BE180" s="179">
        <f t="shared" si="131"/>
        <v>2.8285865113898127E-2</v>
      </c>
      <c r="BF180" s="179">
        <f t="shared" si="132"/>
        <v>2.4055958532720773E-2</v>
      </c>
      <c r="BG180" s="179">
        <f t="shared" si="133"/>
        <v>2.1449406444318822E-2</v>
      </c>
      <c r="BH180" s="179">
        <f t="shared" si="134"/>
        <v>2.142962250093133E-2</v>
      </c>
    </row>
    <row r="181" spans="2:68" s="108" customFormat="1" x14ac:dyDescent="0.25">
      <c r="B181" s="107"/>
      <c r="E181" s="109" t="s">
        <v>46</v>
      </c>
      <c r="F181" s="110" t="s">
        <v>53</v>
      </c>
      <c r="G181" s="111" t="s">
        <v>55</v>
      </c>
      <c r="H181" s="70">
        <v>29773</v>
      </c>
      <c r="I181" s="70">
        <v>33586</v>
      </c>
      <c r="J181" s="70">
        <v>34360</v>
      </c>
      <c r="K181" s="70">
        <v>32653</v>
      </c>
      <c r="L181" s="70">
        <v>35054</v>
      </c>
      <c r="M181" s="70">
        <v>37862</v>
      </c>
      <c r="N181" s="70">
        <v>40792</v>
      </c>
      <c r="O181" s="112">
        <v>38750</v>
      </c>
      <c r="P181" s="112">
        <v>37232</v>
      </c>
      <c r="R181" s="111" t="s">
        <v>55</v>
      </c>
      <c r="S181" s="81">
        <v>4.4000000000000004</v>
      </c>
      <c r="T181" s="81">
        <v>4.9000000000000004</v>
      </c>
      <c r="U181" s="81">
        <v>5</v>
      </c>
      <c r="V181" s="81">
        <v>4.5</v>
      </c>
      <c r="W181" s="81">
        <v>4.7</v>
      </c>
      <c r="X181" s="81">
        <v>5.2</v>
      </c>
      <c r="Y181" s="81">
        <v>4.5</v>
      </c>
      <c r="Z181" s="81">
        <v>4.5999999999999996</v>
      </c>
      <c r="AA181" s="81">
        <v>4.5999999999999996</v>
      </c>
      <c r="AC181" s="111" t="s">
        <v>55</v>
      </c>
      <c r="AD181" s="70">
        <f t="shared" si="138"/>
        <v>2620.0240000000003</v>
      </c>
      <c r="AE181" s="70">
        <f t="shared" si="119"/>
        <v>3291.4280000000003</v>
      </c>
      <c r="AF181" s="70">
        <f t="shared" si="120"/>
        <v>3436</v>
      </c>
      <c r="AG181" s="70">
        <f t="shared" si="121"/>
        <v>2938.77</v>
      </c>
      <c r="AH181" s="70">
        <f t="shared" si="122"/>
        <v>3295.0760000000005</v>
      </c>
      <c r="AI181" s="70">
        <f t="shared" si="123"/>
        <v>3937.6479999999997</v>
      </c>
      <c r="AJ181" s="70">
        <f t="shared" si="124"/>
        <v>3671.28</v>
      </c>
      <c r="AK181" s="70">
        <f t="shared" si="135"/>
        <v>3565</v>
      </c>
      <c r="AL181" s="70">
        <f t="shared" si="136"/>
        <v>3425.3439999999996</v>
      </c>
      <c r="AN181" s="111" t="s">
        <v>55</v>
      </c>
      <c r="AO181" s="113">
        <f t="shared" ref="AO181:AW181" si="164">H181/H179</f>
        <v>0.25594230058369938</v>
      </c>
      <c r="AP181" s="113">
        <f t="shared" si="164"/>
        <v>0.28126858109522734</v>
      </c>
      <c r="AQ181" s="113">
        <f t="shared" si="164"/>
        <v>0.2924827838640755</v>
      </c>
      <c r="AR181" s="113">
        <f t="shared" si="164"/>
        <v>0.27354215010345895</v>
      </c>
      <c r="AS181" s="113">
        <f t="shared" si="164"/>
        <v>0.28754706456561147</v>
      </c>
      <c r="AT181" s="113">
        <f t="shared" si="164"/>
        <v>0.30283785513181471</v>
      </c>
      <c r="AU181" s="113">
        <f t="shared" si="164"/>
        <v>0.32479517170542943</v>
      </c>
      <c r="AV181" s="113">
        <f t="shared" si="164"/>
        <v>0.30852156466213904</v>
      </c>
      <c r="AW181" s="113">
        <f t="shared" si="164"/>
        <v>0.28896063578790515</v>
      </c>
      <c r="AY181" s="111" t="s">
        <v>55</v>
      </c>
      <c r="AZ181" s="179">
        <f t="shared" si="126"/>
        <v>2.2522922451365546E-2</v>
      </c>
      <c r="BA181" s="179">
        <f t="shared" si="127"/>
        <v>2.7564320947332282E-2</v>
      </c>
      <c r="BB181" s="179">
        <f t="shared" si="128"/>
        <v>2.9248278386407551E-2</v>
      </c>
      <c r="BC181" s="179">
        <f t="shared" si="129"/>
        <v>2.4618793509311305E-2</v>
      </c>
      <c r="BD181" s="179">
        <f t="shared" si="130"/>
        <v>2.7029424069167481E-2</v>
      </c>
      <c r="BE181" s="179">
        <f t="shared" si="131"/>
        <v>3.1495136933708728E-2</v>
      </c>
      <c r="BF181" s="179">
        <f t="shared" si="132"/>
        <v>2.9231565453488647E-2</v>
      </c>
      <c r="BG181" s="179">
        <f t="shared" si="133"/>
        <v>2.838398394891679E-2</v>
      </c>
      <c r="BH181" s="179">
        <f t="shared" si="134"/>
        <v>2.6584378492487272E-2</v>
      </c>
    </row>
    <row r="182" spans="2:68" s="108" customFormat="1" x14ac:dyDescent="0.25">
      <c r="B182" s="107"/>
      <c r="E182" s="109" t="s">
        <v>46</v>
      </c>
      <c r="F182" s="110" t="s">
        <v>53</v>
      </c>
      <c r="G182" s="111" t="s">
        <v>130</v>
      </c>
      <c r="H182" s="70">
        <v>14252</v>
      </c>
      <c r="I182" s="70">
        <v>15355</v>
      </c>
      <c r="J182" s="70">
        <v>15613</v>
      </c>
      <c r="K182" s="70">
        <v>14777</v>
      </c>
      <c r="L182" s="70">
        <v>13508</v>
      </c>
      <c r="M182" s="70">
        <v>14473</v>
      </c>
      <c r="N182" s="70">
        <v>15572</v>
      </c>
      <c r="O182" s="112">
        <v>15328</v>
      </c>
      <c r="P182" s="112">
        <v>15971</v>
      </c>
      <c r="R182" s="111" t="s">
        <v>130</v>
      </c>
      <c r="S182" s="220">
        <v>6.3</v>
      </c>
      <c r="T182" s="220">
        <v>7.7</v>
      </c>
      <c r="U182" s="220">
        <v>7.8</v>
      </c>
      <c r="V182" s="220">
        <v>7.3</v>
      </c>
      <c r="W182" s="220">
        <v>8.5</v>
      </c>
      <c r="X182" s="220">
        <v>9.1</v>
      </c>
      <c r="Y182" s="220">
        <v>8.3000000000000007</v>
      </c>
      <c r="Z182" s="220">
        <v>7.8</v>
      </c>
      <c r="AA182" s="220">
        <v>7.6</v>
      </c>
      <c r="AC182" s="111" t="s">
        <v>130</v>
      </c>
      <c r="AD182" s="70">
        <f t="shared" si="138"/>
        <v>1795.7519999999997</v>
      </c>
      <c r="AE182" s="70">
        <f t="shared" si="119"/>
        <v>2364.67</v>
      </c>
      <c r="AF182" s="70">
        <f t="shared" si="120"/>
        <v>2435.6279999999997</v>
      </c>
      <c r="AG182" s="70">
        <f t="shared" si="121"/>
        <v>2157.442</v>
      </c>
      <c r="AH182" s="70">
        <f t="shared" si="122"/>
        <v>2296.36</v>
      </c>
      <c r="AI182" s="70">
        <f t="shared" si="123"/>
        <v>2634.0859999999998</v>
      </c>
      <c r="AJ182" s="70">
        <f t="shared" si="124"/>
        <v>2584.9520000000002</v>
      </c>
      <c r="AK182" s="70">
        <f t="shared" si="135"/>
        <v>2391.1679999999997</v>
      </c>
      <c r="AL182" s="70">
        <f t="shared" si="136"/>
        <v>2427.5919999999996</v>
      </c>
      <c r="AN182" s="111" t="s">
        <v>130</v>
      </c>
      <c r="AO182" s="113">
        <f t="shared" ref="AO182:AW182" si="165">H182/H179</f>
        <v>0.12251669861683014</v>
      </c>
      <c r="AP182" s="113">
        <f t="shared" si="165"/>
        <v>0.12859164719577251</v>
      </c>
      <c r="AQ182" s="113">
        <f t="shared" si="165"/>
        <v>0.13290261072380125</v>
      </c>
      <c r="AR182" s="113">
        <f t="shared" si="165"/>
        <v>0.12379053538966751</v>
      </c>
      <c r="AS182" s="113">
        <f t="shared" si="165"/>
        <v>0.11080577817516632</v>
      </c>
      <c r="AT182" s="113">
        <f t="shared" si="165"/>
        <v>0.11576177373944203</v>
      </c>
      <c r="AU182" s="113">
        <f t="shared" si="165"/>
        <v>0.12398780186793849</v>
      </c>
      <c r="AV182" s="113">
        <f t="shared" si="165"/>
        <v>0.12203918821009721</v>
      </c>
      <c r="AW182" s="113">
        <f t="shared" si="165"/>
        <v>0.12395225381845275</v>
      </c>
      <c r="AY182" s="111" t="s">
        <v>130</v>
      </c>
      <c r="AZ182" s="179">
        <f t="shared" si="126"/>
        <v>1.5437104025720596E-2</v>
      </c>
      <c r="BA182" s="179">
        <f t="shared" si="127"/>
        <v>1.9803113668148967E-2</v>
      </c>
      <c r="BB182" s="179">
        <f t="shared" si="128"/>
        <v>2.0732807272912993E-2</v>
      </c>
      <c r="BC182" s="179">
        <f t="shared" si="129"/>
        <v>1.8073418166891456E-2</v>
      </c>
      <c r="BD182" s="179">
        <f t="shared" si="130"/>
        <v>1.8836982289778273E-2</v>
      </c>
      <c r="BE182" s="179">
        <f t="shared" si="131"/>
        <v>2.1068642820578451E-2</v>
      </c>
      <c r="BF182" s="179">
        <f t="shared" si="132"/>
        <v>2.058197511007779E-2</v>
      </c>
      <c r="BG182" s="179">
        <f t="shared" si="133"/>
        <v>1.9038113360775166E-2</v>
      </c>
      <c r="BH182" s="179">
        <f t="shared" si="134"/>
        <v>1.8840742580404815E-2</v>
      </c>
    </row>
    <row r="183" spans="2:68" s="108" customFormat="1" x14ac:dyDescent="0.25">
      <c r="B183" s="107"/>
      <c r="E183" s="109" t="s">
        <v>46</v>
      </c>
      <c r="F183" s="110" t="s">
        <v>53</v>
      </c>
      <c r="G183" s="111" t="s">
        <v>131</v>
      </c>
      <c r="H183" s="112">
        <v>39766</v>
      </c>
      <c r="I183" s="112">
        <v>41901</v>
      </c>
      <c r="J183" s="112">
        <v>41311</v>
      </c>
      <c r="K183" s="112">
        <v>46428</v>
      </c>
      <c r="L183" s="112">
        <v>46297</v>
      </c>
      <c r="M183" s="112">
        <v>45442</v>
      </c>
      <c r="N183" s="112">
        <v>44181</v>
      </c>
      <c r="O183" s="112">
        <v>52549</v>
      </c>
      <c r="P183" s="112">
        <v>53731</v>
      </c>
      <c r="R183" s="111" t="s">
        <v>131</v>
      </c>
      <c r="S183" s="220">
        <v>3.9</v>
      </c>
      <c r="T183" s="220">
        <v>4.0999999999999996</v>
      </c>
      <c r="U183" s="220">
        <v>4.2</v>
      </c>
      <c r="V183" s="220">
        <v>3.4</v>
      </c>
      <c r="W183" s="220">
        <v>3.9</v>
      </c>
      <c r="X183" s="220">
        <v>4</v>
      </c>
      <c r="Y183" s="220">
        <v>4.0999999999999996</v>
      </c>
      <c r="Z183" s="220">
        <v>3.6</v>
      </c>
      <c r="AA183" s="220">
        <v>3.4</v>
      </c>
      <c r="AC183" s="111" t="s">
        <v>131</v>
      </c>
      <c r="AD183" s="112">
        <f t="shared" si="138"/>
        <v>3101.748</v>
      </c>
      <c r="AE183" s="112">
        <f t="shared" si="119"/>
        <v>3435.8819999999996</v>
      </c>
      <c r="AF183" s="112">
        <f t="shared" si="120"/>
        <v>3470.1240000000003</v>
      </c>
      <c r="AG183" s="112">
        <f t="shared" si="121"/>
        <v>3157.1039999999998</v>
      </c>
      <c r="AH183" s="112">
        <f t="shared" si="122"/>
        <v>3611.1659999999997</v>
      </c>
      <c r="AI183" s="112">
        <f t="shared" si="123"/>
        <v>3635.36</v>
      </c>
      <c r="AJ183" s="112">
        <f t="shared" si="124"/>
        <v>3622.8419999999996</v>
      </c>
      <c r="AK183" s="112">
        <f t="shared" si="135"/>
        <v>3783.5279999999998</v>
      </c>
      <c r="AL183" s="112">
        <f t="shared" si="136"/>
        <v>3653.7080000000001</v>
      </c>
      <c r="AN183" s="111" t="s">
        <v>131</v>
      </c>
      <c r="AO183" s="113">
        <f t="shared" ref="AO183:AW183" si="166">H183/H179</f>
        <v>0.34184669079405466</v>
      </c>
      <c r="AP183" s="113">
        <f t="shared" si="166"/>
        <v>0.3509031982513881</v>
      </c>
      <c r="AQ183" s="113">
        <f t="shared" si="166"/>
        <v>0.35165181269525098</v>
      </c>
      <c r="AR183" s="113">
        <f t="shared" si="166"/>
        <v>0.38893868695076694</v>
      </c>
      <c r="AS183" s="113">
        <f t="shared" si="166"/>
        <v>0.37977310572813699</v>
      </c>
      <c r="AT183" s="113">
        <f t="shared" si="166"/>
        <v>0.36346621448681854</v>
      </c>
      <c r="AU183" s="113">
        <f t="shared" si="166"/>
        <v>0.35177915966654194</v>
      </c>
      <c r="AV183" s="113">
        <f t="shared" si="166"/>
        <v>0.41838708906918048</v>
      </c>
      <c r="AW183" s="113">
        <f t="shared" si="166"/>
        <v>0.41701074133863159</v>
      </c>
      <c r="AY183" s="111" t="s">
        <v>131</v>
      </c>
      <c r="AZ183" s="179">
        <f t="shared" si="126"/>
        <v>2.6664041881936263E-2</v>
      </c>
      <c r="BA183" s="179">
        <f t="shared" si="127"/>
        <v>2.877406225661382E-2</v>
      </c>
      <c r="BB183" s="179">
        <f t="shared" si="128"/>
        <v>2.9538752266401083E-2</v>
      </c>
      <c r="BC183" s="179">
        <f t="shared" si="129"/>
        <v>2.6447830712652151E-2</v>
      </c>
      <c r="BD183" s="179">
        <f t="shared" si="130"/>
        <v>2.9622302246794682E-2</v>
      </c>
      <c r="BE183" s="179">
        <f t="shared" si="131"/>
        <v>2.9077297158945484E-2</v>
      </c>
      <c r="BF183" s="179">
        <f t="shared" si="132"/>
        <v>2.8845891092656437E-2</v>
      </c>
      <c r="BG183" s="179">
        <f t="shared" si="133"/>
        <v>3.0123870412980994E-2</v>
      </c>
      <c r="BH183" s="179">
        <f t="shared" si="134"/>
        <v>2.8356730411026949E-2</v>
      </c>
    </row>
    <row r="184" spans="2:68" s="191" customFormat="1" x14ac:dyDescent="0.25">
      <c r="B184" s="186"/>
      <c r="C184" s="195"/>
      <c r="D184" s="195"/>
      <c r="E184" s="109" t="s">
        <v>4</v>
      </c>
      <c r="F184" s="110" t="s">
        <v>53</v>
      </c>
      <c r="G184" s="195" t="s">
        <v>7</v>
      </c>
      <c r="H184" s="200">
        <v>56689</v>
      </c>
      <c r="I184" s="200">
        <v>58150</v>
      </c>
      <c r="J184" s="200">
        <v>56851</v>
      </c>
      <c r="K184" s="200">
        <v>57323</v>
      </c>
      <c r="L184" s="200">
        <v>59204</v>
      </c>
      <c r="M184" s="200">
        <v>60988</v>
      </c>
      <c r="N184" s="200">
        <v>60978</v>
      </c>
      <c r="O184" s="200">
        <v>61039</v>
      </c>
      <c r="P184" s="200">
        <v>62961</v>
      </c>
      <c r="R184" s="195" t="s">
        <v>7</v>
      </c>
      <c r="S184" s="226">
        <v>2.4</v>
      </c>
      <c r="T184" s="226">
        <v>1.4</v>
      </c>
      <c r="U184" s="226">
        <v>1.3</v>
      </c>
      <c r="V184" s="226">
        <v>1.3</v>
      </c>
      <c r="W184" s="226">
        <v>1.5</v>
      </c>
      <c r="X184" s="226">
        <v>1.5</v>
      </c>
      <c r="Y184" s="226">
        <v>1.4</v>
      </c>
      <c r="Z184" s="226">
        <v>1.3</v>
      </c>
      <c r="AA184" s="226">
        <v>1.3</v>
      </c>
      <c r="AB184" s="202"/>
      <c r="AC184" s="195" t="s">
        <v>7</v>
      </c>
      <c r="AD184" s="69">
        <f t="shared" si="138"/>
        <v>2721.0720000000001</v>
      </c>
      <c r="AE184" s="69">
        <f t="shared" si="119"/>
        <v>1628.2</v>
      </c>
      <c r="AF184" s="69">
        <f t="shared" si="120"/>
        <v>1478.126</v>
      </c>
      <c r="AG184" s="69">
        <f t="shared" si="121"/>
        <v>1490.3980000000001</v>
      </c>
      <c r="AH184" s="69">
        <f t="shared" si="122"/>
        <v>1776.12</v>
      </c>
      <c r="AI184" s="69">
        <f t="shared" si="123"/>
        <v>1829.64</v>
      </c>
      <c r="AJ184" s="69">
        <f t="shared" si="124"/>
        <v>1707.384</v>
      </c>
      <c r="AK184" s="69">
        <f t="shared" si="135"/>
        <v>1587.0139999999999</v>
      </c>
      <c r="AL184" s="69">
        <f t="shared" si="136"/>
        <v>1636.9860000000001</v>
      </c>
      <c r="AN184" s="195" t="s">
        <v>7</v>
      </c>
      <c r="AO184" s="177">
        <f t="shared" ref="AO184:AW184" si="167">H184/H184</f>
        <v>1</v>
      </c>
      <c r="AP184" s="177">
        <f t="shared" si="167"/>
        <v>1</v>
      </c>
      <c r="AQ184" s="177">
        <f t="shared" si="167"/>
        <v>1</v>
      </c>
      <c r="AR184" s="177">
        <f t="shared" si="167"/>
        <v>1</v>
      </c>
      <c r="AS184" s="177">
        <f t="shared" si="167"/>
        <v>1</v>
      </c>
      <c r="AT184" s="177">
        <f t="shared" si="167"/>
        <v>1</v>
      </c>
      <c r="AU184" s="177">
        <f t="shared" si="167"/>
        <v>1</v>
      </c>
      <c r="AV184" s="177">
        <f t="shared" si="167"/>
        <v>1</v>
      </c>
      <c r="AW184" s="177">
        <f t="shared" si="167"/>
        <v>1</v>
      </c>
      <c r="AY184" s="195" t="s">
        <v>7</v>
      </c>
      <c r="AZ184" s="203">
        <f t="shared" si="126"/>
        <v>4.8000000000000001E-2</v>
      </c>
      <c r="BA184" s="203">
        <f t="shared" si="127"/>
        <v>2.7999999999999997E-2</v>
      </c>
      <c r="BB184" s="203">
        <f t="shared" si="128"/>
        <v>2.6000000000000002E-2</v>
      </c>
      <c r="BC184" s="203">
        <f t="shared" si="129"/>
        <v>2.6000000000000002E-2</v>
      </c>
      <c r="BD184" s="203">
        <f t="shared" si="130"/>
        <v>0.03</v>
      </c>
      <c r="BE184" s="203">
        <f t="shared" si="131"/>
        <v>0.03</v>
      </c>
      <c r="BF184" s="203">
        <f t="shared" si="132"/>
        <v>2.7999999999999997E-2</v>
      </c>
      <c r="BG184" s="203">
        <f t="shared" si="133"/>
        <v>2.6000000000000002E-2</v>
      </c>
      <c r="BH184" s="203">
        <f t="shared" si="134"/>
        <v>2.6000000000000002E-2</v>
      </c>
    </row>
    <row r="185" spans="2:68" s="108" customFormat="1" x14ac:dyDescent="0.25">
      <c r="B185" s="107"/>
      <c r="E185" s="109" t="s">
        <v>4</v>
      </c>
      <c r="F185" s="110" t="s">
        <v>53</v>
      </c>
      <c r="G185" s="111" t="s">
        <v>54</v>
      </c>
      <c r="H185" s="112">
        <v>16778</v>
      </c>
      <c r="I185" s="112">
        <v>15210</v>
      </c>
      <c r="J185" s="112">
        <v>14447</v>
      </c>
      <c r="K185" s="112">
        <v>14322</v>
      </c>
      <c r="L185" s="112">
        <v>14404</v>
      </c>
      <c r="M185" s="112">
        <v>14201</v>
      </c>
      <c r="N185" s="112">
        <v>14720</v>
      </c>
      <c r="O185" s="112">
        <v>10695</v>
      </c>
      <c r="P185" s="112">
        <v>13180</v>
      </c>
      <c r="R185" s="111" t="s">
        <v>54</v>
      </c>
      <c r="S185" s="220">
        <v>5.8</v>
      </c>
      <c r="T185" s="220">
        <v>7.2</v>
      </c>
      <c r="U185" s="220">
        <v>7.6</v>
      </c>
      <c r="V185" s="220">
        <v>6.9</v>
      </c>
      <c r="W185" s="220">
        <v>8</v>
      </c>
      <c r="X185" s="220">
        <v>8.8000000000000007</v>
      </c>
      <c r="Y185" s="220">
        <v>8.1</v>
      </c>
      <c r="Z185" s="220">
        <v>9.8000000000000007</v>
      </c>
      <c r="AA185" s="220">
        <v>7.7</v>
      </c>
      <c r="AC185" s="111" t="s">
        <v>54</v>
      </c>
      <c r="AD185" s="112">
        <f t="shared" si="138"/>
        <v>1946.2479999999998</v>
      </c>
      <c r="AE185" s="112">
        <f t="shared" si="119"/>
        <v>2190.2399999999998</v>
      </c>
      <c r="AF185" s="112">
        <f t="shared" si="120"/>
        <v>2195.944</v>
      </c>
      <c r="AG185" s="112">
        <f t="shared" si="121"/>
        <v>1976.4360000000001</v>
      </c>
      <c r="AH185" s="112">
        <f t="shared" si="122"/>
        <v>2304.64</v>
      </c>
      <c r="AI185" s="112">
        <f t="shared" si="123"/>
        <v>2499.3760000000002</v>
      </c>
      <c r="AJ185" s="112">
        <f t="shared" si="124"/>
        <v>2384.64</v>
      </c>
      <c r="AK185" s="112">
        <f t="shared" si="135"/>
        <v>2096.2200000000003</v>
      </c>
      <c r="AL185" s="112">
        <f t="shared" si="136"/>
        <v>2029.72</v>
      </c>
      <c r="AN185" s="111" t="s">
        <v>54</v>
      </c>
      <c r="AO185" s="113">
        <f t="shared" ref="AO185:AW185" si="168">H185/H184</f>
        <v>0.29596570763287411</v>
      </c>
      <c r="AP185" s="113">
        <f t="shared" si="168"/>
        <v>0.26156491831470335</v>
      </c>
      <c r="AQ185" s="113">
        <f t="shared" si="168"/>
        <v>0.25412042004538177</v>
      </c>
      <c r="AR185" s="113">
        <f t="shared" si="168"/>
        <v>0.2498473562095494</v>
      </c>
      <c r="AS185" s="113">
        <f t="shared" si="168"/>
        <v>0.24329437200189177</v>
      </c>
      <c r="AT185" s="113">
        <f t="shared" si="168"/>
        <v>0.23284908506591462</v>
      </c>
      <c r="AU185" s="113">
        <f t="shared" si="168"/>
        <v>0.24139853717734264</v>
      </c>
      <c r="AV185" s="113">
        <f t="shared" si="168"/>
        <v>0.17521584560690706</v>
      </c>
      <c r="AW185" s="113">
        <f t="shared" si="168"/>
        <v>0.20933593812042375</v>
      </c>
      <c r="AY185" s="111" t="s">
        <v>54</v>
      </c>
      <c r="AZ185" s="204">
        <f t="shared" si="126"/>
        <v>3.4332022085413395E-2</v>
      </c>
      <c r="BA185" s="204">
        <f t="shared" si="127"/>
        <v>3.7665348237317285E-2</v>
      </c>
      <c r="BB185" s="204">
        <f t="shared" si="128"/>
        <v>3.8626303846898025E-2</v>
      </c>
      <c r="BC185" s="204">
        <f t="shared" si="129"/>
        <v>3.4478935156917821E-2</v>
      </c>
      <c r="BD185" s="204">
        <f t="shared" si="130"/>
        <v>3.8927099520302683E-2</v>
      </c>
      <c r="BE185" s="204">
        <f t="shared" si="131"/>
        <v>4.0981438971600975E-2</v>
      </c>
      <c r="BF185" s="204">
        <f t="shared" si="132"/>
        <v>3.9106563022729503E-2</v>
      </c>
      <c r="BG185" s="204">
        <f t="shared" si="133"/>
        <v>3.4342305738953784E-2</v>
      </c>
      <c r="BH185" s="204">
        <f t="shared" si="134"/>
        <v>3.223773447054526E-2</v>
      </c>
    </row>
    <row r="186" spans="2:68" s="108" customFormat="1" x14ac:dyDescent="0.25">
      <c r="B186" s="107"/>
      <c r="E186" s="109" t="s">
        <v>4</v>
      </c>
      <c r="F186" s="110" t="s">
        <v>53</v>
      </c>
      <c r="G186" s="111" t="s">
        <v>55</v>
      </c>
      <c r="H186" s="205">
        <v>16190</v>
      </c>
      <c r="I186" s="205">
        <v>19803</v>
      </c>
      <c r="J186" s="205">
        <v>18166</v>
      </c>
      <c r="K186" s="205">
        <v>17476</v>
      </c>
      <c r="L186" s="205">
        <v>19301</v>
      </c>
      <c r="M186" s="205">
        <v>19925</v>
      </c>
      <c r="N186" s="205">
        <v>20991</v>
      </c>
      <c r="O186" s="112">
        <v>20322</v>
      </c>
      <c r="P186" s="112">
        <v>19602</v>
      </c>
      <c r="R186" s="111" t="s">
        <v>55</v>
      </c>
      <c r="S186" s="81">
        <v>5.8</v>
      </c>
      <c r="T186" s="81">
        <v>6.6</v>
      </c>
      <c r="U186" s="81">
        <v>6.9</v>
      </c>
      <c r="V186" s="81">
        <v>6.6</v>
      </c>
      <c r="W186" s="81">
        <v>6.9</v>
      </c>
      <c r="X186" s="81">
        <v>7.6</v>
      </c>
      <c r="Y186" s="81">
        <v>7</v>
      </c>
      <c r="Z186" s="81">
        <v>6.5</v>
      </c>
      <c r="AA186" s="81">
        <v>6</v>
      </c>
      <c r="AC186" s="111" t="s">
        <v>55</v>
      </c>
      <c r="AD186" s="70">
        <f t="shared" si="138"/>
        <v>1878.04</v>
      </c>
      <c r="AE186" s="70">
        <f t="shared" si="119"/>
        <v>2613.9959999999996</v>
      </c>
      <c r="AF186" s="70">
        <f t="shared" si="120"/>
        <v>2506.9080000000004</v>
      </c>
      <c r="AG186" s="70">
        <f t="shared" si="121"/>
        <v>2306.8319999999999</v>
      </c>
      <c r="AH186" s="70">
        <f t="shared" si="122"/>
        <v>2663.538</v>
      </c>
      <c r="AI186" s="70">
        <f t="shared" si="123"/>
        <v>3028.6</v>
      </c>
      <c r="AJ186" s="70">
        <f t="shared" si="124"/>
        <v>2938.74</v>
      </c>
      <c r="AK186" s="70">
        <f t="shared" si="135"/>
        <v>2641.86</v>
      </c>
      <c r="AL186" s="70">
        <f t="shared" si="136"/>
        <v>2352.2399999999998</v>
      </c>
      <c r="AN186" s="111" t="s">
        <v>55</v>
      </c>
      <c r="AO186" s="113">
        <f t="shared" ref="AO186:AW186" si="169">H186/H184</f>
        <v>0.28559332498368289</v>
      </c>
      <c r="AP186" s="113">
        <f t="shared" si="169"/>
        <v>0.34055030094582978</v>
      </c>
      <c r="AQ186" s="113">
        <f t="shared" si="169"/>
        <v>0.31953703540834816</v>
      </c>
      <c r="AR186" s="113">
        <f t="shared" si="169"/>
        <v>0.30486890079025869</v>
      </c>
      <c r="AS186" s="113">
        <f t="shared" si="169"/>
        <v>0.32600837781230996</v>
      </c>
      <c r="AT186" s="113">
        <f t="shared" si="169"/>
        <v>0.32670361382567065</v>
      </c>
      <c r="AU186" s="113">
        <f t="shared" si="169"/>
        <v>0.34423890583489125</v>
      </c>
      <c r="AV186" s="113">
        <f t="shared" si="169"/>
        <v>0.33293468110552271</v>
      </c>
      <c r="AW186" s="113">
        <f t="shared" si="169"/>
        <v>0.31133558869776529</v>
      </c>
      <c r="AY186" s="111" t="s">
        <v>55</v>
      </c>
      <c r="AZ186" s="204">
        <f t="shared" si="126"/>
        <v>3.3128825698107212E-2</v>
      </c>
      <c r="BA186" s="204">
        <f t="shared" si="127"/>
        <v>4.4952639724849523E-2</v>
      </c>
      <c r="BB186" s="204">
        <f t="shared" si="128"/>
        <v>4.4096110886352048E-2</v>
      </c>
      <c r="BC186" s="204">
        <f t="shared" si="129"/>
        <v>4.0242694904314147E-2</v>
      </c>
      <c r="BD186" s="204">
        <f t="shared" si="130"/>
        <v>4.4989156138098778E-2</v>
      </c>
      <c r="BE186" s="204">
        <f t="shared" si="131"/>
        <v>4.9658949301501935E-2</v>
      </c>
      <c r="BF186" s="204">
        <f t="shared" si="132"/>
        <v>4.8193446816884776E-2</v>
      </c>
      <c r="BG186" s="204">
        <f t="shared" si="133"/>
        <v>4.3281508543717956E-2</v>
      </c>
      <c r="BH186" s="204">
        <f t="shared" si="134"/>
        <v>3.7360270643731833E-2</v>
      </c>
    </row>
    <row r="187" spans="2:68" s="108" customFormat="1" x14ac:dyDescent="0.25">
      <c r="B187" s="107"/>
      <c r="E187" s="109" t="s">
        <v>4</v>
      </c>
      <c r="F187" s="110" t="s">
        <v>53</v>
      </c>
      <c r="G187" s="111" t="s">
        <v>130</v>
      </c>
      <c r="H187" s="205">
        <v>7336</v>
      </c>
      <c r="I187" s="205">
        <v>6836</v>
      </c>
      <c r="J187" s="205">
        <v>7189</v>
      </c>
      <c r="K187" s="205">
        <v>7440</v>
      </c>
      <c r="L187" s="205">
        <v>5535</v>
      </c>
      <c r="M187" s="205">
        <v>8248</v>
      </c>
      <c r="N187" s="205">
        <v>7640</v>
      </c>
      <c r="O187" s="112">
        <v>8314</v>
      </c>
      <c r="P187" s="112">
        <v>8190</v>
      </c>
      <c r="R187" s="111" t="s">
        <v>130</v>
      </c>
      <c r="S187" s="220">
        <v>9.1</v>
      </c>
      <c r="T187" s="220">
        <v>12.5</v>
      </c>
      <c r="U187" s="220">
        <v>11.8</v>
      </c>
      <c r="V187" s="220">
        <v>10.7</v>
      </c>
      <c r="W187" s="220">
        <v>14.6</v>
      </c>
      <c r="X187" s="220">
        <v>12.4</v>
      </c>
      <c r="Y187" s="220">
        <v>12.4</v>
      </c>
      <c r="Z187" s="220">
        <v>10.9</v>
      </c>
      <c r="AA187" s="220">
        <v>10.4</v>
      </c>
      <c r="AC187" s="111" t="s">
        <v>130</v>
      </c>
      <c r="AD187" s="70">
        <f t="shared" si="138"/>
        <v>1335.1519999999998</v>
      </c>
      <c r="AE187" s="70">
        <f t="shared" si="119"/>
        <v>1709</v>
      </c>
      <c r="AF187" s="70">
        <f t="shared" si="120"/>
        <v>1696.6040000000003</v>
      </c>
      <c r="AG187" s="70">
        <f t="shared" si="121"/>
        <v>1592.16</v>
      </c>
      <c r="AH187" s="70">
        <f t="shared" si="122"/>
        <v>1616.22</v>
      </c>
      <c r="AI187" s="70">
        <f t="shared" si="123"/>
        <v>2045.5039999999999</v>
      </c>
      <c r="AJ187" s="70">
        <f t="shared" si="124"/>
        <v>1894.72</v>
      </c>
      <c r="AK187" s="70">
        <f t="shared" si="135"/>
        <v>1812.4520000000002</v>
      </c>
      <c r="AL187" s="70">
        <f t="shared" si="136"/>
        <v>1703.52</v>
      </c>
      <c r="AN187" s="111" t="s">
        <v>130</v>
      </c>
      <c r="AO187" s="113">
        <f t="shared" ref="AO187:AW187" si="170">H187/H184</f>
        <v>0.1294078216232426</v>
      </c>
      <c r="AP187" s="113">
        <f t="shared" si="170"/>
        <v>0.11755803955288048</v>
      </c>
      <c r="AQ187" s="113">
        <f t="shared" si="170"/>
        <v>0.1264533605389527</v>
      </c>
      <c r="AR187" s="113">
        <f t="shared" si="170"/>
        <v>0.12979083439457112</v>
      </c>
      <c r="AS187" s="113">
        <f t="shared" si="170"/>
        <v>9.349030470914127E-2</v>
      </c>
      <c r="AT187" s="113">
        <f t="shared" si="170"/>
        <v>0.13523971928904047</v>
      </c>
      <c r="AU187" s="113">
        <f t="shared" si="170"/>
        <v>0.1252910885893273</v>
      </c>
      <c r="AV187" s="113">
        <f t="shared" si="170"/>
        <v>0.13620799816510756</v>
      </c>
      <c r="AW187" s="113">
        <f t="shared" si="170"/>
        <v>0.13008052603992948</v>
      </c>
      <c r="AY187" s="111" t="s">
        <v>130</v>
      </c>
      <c r="AZ187" s="204">
        <f t="shared" si="126"/>
        <v>2.3552223535430152E-2</v>
      </c>
      <c r="BA187" s="204">
        <f t="shared" si="127"/>
        <v>2.938950988822012E-2</v>
      </c>
      <c r="BB187" s="204">
        <f t="shared" si="128"/>
        <v>2.9842993087192838E-2</v>
      </c>
      <c r="BC187" s="204">
        <f t="shared" si="129"/>
        <v>2.7775238560438217E-2</v>
      </c>
      <c r="BD187" s="204">
        <f t="shared" si="130"/>
        <v>2.729916897506925E-2</v>
      </c>
      <c r="BE187" s="204">
        <f t="shared" si="131"/>
        <v>3.3539450383682036E-2</v>
      </c>
      <c r="BF187" s="204">
        <f t="shared" si="132"/>
        <v>3.1072189970153173E-2</v>
      </c>
      <c r="BG187" s="204">
        <f t="shared" si="133"/>
        <v>2.9693343599993448E-2</v>
      </c>
      <c r="BH187" s="204">
        <f t="shared" si="134"/>
        <v>2.7056749416305332E-2</v>
      </c>
    </row>
    <row r="188" spans="2:68" s="108" customFormat="1" x14ac:dyDescent="0.25">
      <c r="B188" s="107"/>
      <c r="E188" s="109" t="s">
        <v>4</v>
      </c>
      <c r="F188" s="110" t="s">
        <v>53</v>
      </c>
      <c r="G188" s="111" t="s">
        <v>131</v>
      </c>
      <c r="H188" s="112">
        <v>16350</v>
      </c>
      <c r="I188" s="112">
        <v>16138</v>
      </c>
      <c r="J188" s="112">
        <v>16959</v>
      </c>
      <c r="K188" s="112">
        <v>17971</v>
      </c>
      <c r="L188" s="112">
        <v>19739</v>
      </c>
      <c r="M188" s="112">
        <v>18595</v>
      </c>
      <c r="N188" s="112">
        <v>17247</v>
      </c>
      <c r="O188" s="112">
        <v>21708</v>
      </c>
      <c r="P188" s="112">
        <v>21990</v>
      </c>
      <c r="R188" s="111" t="s">
        <v>131</v>
      </c>
      <c r="S188" s="220">
        <v>5.8</v>
      </c>
      <c r="T188" s="220">
        <v>7</v>
      </c>
      <c r="U188" s="220">
        <v>7.1</v>
      </c>
      <c r="V188" s="220">
        <v>5.8</v>
      </c>
      <c r="W188" s="220">
        <v>6.4</v>
      </c>
      <c r="X188" s="220">
        <v>7.3</v>
      </c>
      <c r="Y188" s="220">
        <v>6.9</v>
      </c>
      <c r="Z188" s="220">
        <v>6.5</v>
      </c>
      <c r="AA188" s="220">
        <v>5.5</v>
      </c>
      <c r="AC188" s="111" t="s">
        <v>131</v>
      </c>
      <c r="AD188" s="112">
        <f t="shared" si="138"/>
        <v>1896.6</v>
      </c>
      <c r="AE188" s="112">
        <f t="shared" si="119"/>
        <v>2259.3200000000002</v>
      </c>
      <c r="AF188" s="112">
        <f t="shared" si="120"/>
        <v>2408.1779999999999</v>
      </c>
      <c r="AG188" s="112">
        <f t="shared" si="121"/>
        <v>2084.636</v>
      </c>
      <c r="AH188" s="112">
        <f t="shared" si="122"/>
        <v>2526.5920000000001</v>
      </c>
      <c r="AI188" s="112">
        <f t="shared" si="123"/>
        <v>2714.87</v>
      </c>
      <c r="AJ188" s="112">
        <f t="shared" si="124"/>
        <v>2380.0860000000002</v>
      </c>
      <c r="AK188" s="112">
        <f t="shared" si="135"/>
        <v>2822.04</v>
      </c>
      <c r="AL188" s="112">
        <f t="shared" si="136"/>
        <v>2418.9</v>
      </c>
      <c r="AN188" s="111" t="s">
        <v>131</v>
      </c>
      <c r="AO188" s="113">
        <f t="shared" ref="AO188:AW188" si="171">H188/H184</f>
        <v>0.28841574203108189</v>
      </c>
      <c r="AP188" s="113">
        <f t="shared" si="171"/>
        <v>0.27752364574376615</v>
      </c>
      <c r="AQ188" s="113">
        <f t="shared" si="171"/>
        <v>0.29830609839756556</v>
      </c>
      <c r="AR188" s="113">
        <f t="shared" si="171"/>
        <v>0.3135041780786072</v>
      </c>
      <c r="AS188" s="113">
        <f t="shared" si="171"/>
        <v>0.33340652658604147</v>
      </c>
      <c r="AT188" s="113">
        <f t="shared" si="171"/>
        <v>0.30489604512363089</v>
      </c>
      <c r="AU188" s="113">
        <f t="shared" si="171"/>
        <v>0.2828397126832628</v>
      </c>
      <c r="AV188" s="113">
        <f t="shared" si="171"/>
        <v>0.35564147512246269</v>
      </c>
      <c r="AW188" s="113">
        <f t="shared" si="171"/>
        <v>0.34926382998999378</v>
      </c>
      <c r="AY188" s="111" t="s">
        <v>131</v>
      </c>
      <c r="AZ188" s="204">
        <f t="shared" si="126"/>
        <v>3.34562260756055E-2</v>
      </c>
      <c r="BA188" s="204">
        <f t="shared" si="127"/>
        <v>3.8853310404127261E-2</v>
      </c>
      <c r="BB188" s="204">
        <f t="shared" si="128"/>
        <v>4.235946597245431E-2</v>
      </c>
      <c r="BC188" s="204">
        <f t="shared" si="129"/>
        <v>3.6366484657118434E-2</v>
      </c>
      <c r="BD188" s="204">
        <f t="shared" si="130"/>
        <v>4.2676035403013311E-2</v>
      </c>
      <c r="BE188" s="204">
        <f t="shared" si="131"/>
        <v>4.4514822588050104E-2</v>
      </c>
      <c r="BF188" s="204">
        <f t="shared" si="132"/>
        <v>3.9031880350290267E-2</v>
      </c>
      <c r="BG188" s="204">
        <f t="shared" si="133"/>
        <v>4.6233391765920152E-2</v>
      </c>
      <c r="BH188" s="204">
        <f t="shared" si="134"/>
        <v>3.8419021298899313E-2</v>
      </c>
    </row>
    <row r="189" spans="2:68" s="191" customFormat="1" x14ac:dyDescent="0.25">
      <c r="B189" s="186"/>
      <c r="C189" s="195"/>
      <c r="D189" s="195"/>
      <c r="E189" s="109" t="s">
        <v>5</v>
      </c>
      <c r="F189" s="110" t="s">
        <v>53</v>
      </c>
      <c r="G189" s="195" t="s">
        <v>7</v>
      </c>
      <c r="H189" s="200">
        <v>59638</v>
      </c>
      <c r="I189" s="200">
        <v>61259</v>
      </c>
      <c r="J189" s="200">
        <v>60626</v>
      </c>
      <c r="K189" s="200">
        <v>62048</v>
      </c>
      <c r="L189" s="200">
        <v>62703</v>
      </c>
      <c r="M189" s="200">
        <v>64036</v>
      </c>
      <c r="N189" s="200">
        <v>64615</v>
      </c>
      <c r="O189" s="200">
        <v>64560</v>
      </c>
      <c r="P189" s="200">
        <v>65887</v>
      </c>
      <c r="R189" s="195" t="s">
        <v>7</v>
      </c>
      <c r="S189" s="226">
        <v>2.4</v>
      </c>
      <c r="T189" s="226">
        <v>1.3</v>
      </c>
      <c r="U189" s="226">
        <v>1.3</v>
      </c>
      <c r="V189" s="226">
        <v>1.3</v>
      </c>
      <c r="W189" s="226">
        <v>1.4</v>
      </c>
      <c r="X189" s="226">
        <v>1.5</v>
      </c>
      <c r="Y189" s="226">
        <v>1.4</v>
      </c>
      <c r="Z189" s="226">
        <v>1.3</v>
      </c>
      <c r="AA189" s="226">
        <v>1.3</v>
      </c>
      <c r="AC189" s="195" t="s">
        <v>7</v>
      </c>
      <c r="AD189" s="69">
        <f t="shared" si="138"/>
        <v>2862.6239999999998</v>
      </c>
      <c r="AE189" s="69">
        <f t="shared" si="119"/>
        <v>1592.7339999999999</v>
      </c>
      <c r="AF189" s="69">
        <f t="shared" si="120"/>
        <v>1576.2760000000001</v>
      </c>
      <c r="AG189" s="69">
        <f t="shared" si="121"/>
        <v>1613.2480000000003</v>
      </c>
      <c r="AH189" s="69">
        <f t="shared" si="122"/>
        <v>1755.684</v>
      </c>
      <c r="AI189" s="69">
        <f t="shared" si="123"/>
        <v>1921.08</v>
      </c>
      <c r="AJ189" s="69">
        <f t="shared" si="124"/>
        <v>1809.22</v>
      </c>
      <c r="AK189" s="69">
        <f t="shared" si="135"/>
        <v>1678.56</v>
      </c>
      <c r="AL189" s="69">
        <f t="shared" si="136"/>
        <v>1713.0620000000001</v>
      </c>
      <c r="AN189" s="195" t="s">
        <v>7</v>
      </c>
      <c r="AO189" s="177">
        <f t="shared" ref="AO189:AW189" si="172">H189/H189</f>
        <v>1</v>
      </c>
      <c r="AP189" s="177">
        <f t="shared" si="172"/>
        <v>1</v>
      </c>
      <c r="AQ189" s="177">
        <f t="shared" si="172"/>
        <v>1</v>
      </c>
      <c r="AR189" s="177">
        <f t="shared" si="172"/>
        <v>1</v>
      </c>
      <c r="AS189" s="177">
        <f t="shared" si="172"/>
        <v>1</v>
      </c>
      <c r="AT189" s="177">
        <f t="shared" si="172"/>
        <v>1</v>
      </c>
      <c r="AU189" s="177">
        <f t="shared" si="172"/>
        <v>1</v>
      </c>
      <c r="AV189" s="177">
        <f t="shared" si="172"/>
        <v>1</v>
      </c>
      <c r="AW189" s="177">
        <f t="shared" si="172"/>
        <v>1</v>
      </c>
      <c r="AY189" s="195" t="s">
        <v>7</v>
      </c>
      <c r="AZ189" s="203">
        <f t="shared" si="126"/>
        <v>4.8000000000000001E-2</v>
      </c>
      <c r="BA189" s="203">
        <f t="shared" si="127"/>
        <v>2.6000000000000002E-2</v>
      </c>
      <c r="BB189" s="203">
        <f t="shared" si="128"/>
        <v>2.6000000000000002E-2</v>
      </c>
      <c r="BC189" s="203">
        <f t="shared" si="129"/>
        <v>2.6000000000000002E-2</v>
      </c>
      <c r="BD189" s="203">
        <f t="shared" si="130"/>
        <v>2.7999999999999997E-2</v>
      </c>
      <c r="BE189" s="203">
        <f t="shared" si="131"/>
        <v>0.03</v>
      </c>
      <c r="BF189" s="203">
        <f t="shared" si="132"/>
        <v>2.7999999999999997E-2</v>
      </c>
      <c r="BG189" s="203">
        <f t="shared" si="133"/>
        <v>2.6000000000000002E-2</v>
      </c>
      <c r="BH189" s="203">
        <f t="shared" si="134"/>
        <v>2.6000000000000002E-2</v>
      </c>
    </row>
    <row r="190" spans="2:68" s="108" customFormat="1" x14ac:dyDescent="0.25">
      <c r="B190" s="107"/>
      <c r="E190" s="109" t="s">
        <v>5</v>
      </c>
      <c r="F190" s="110" t="s">
        <v>53</v>
      </c>
      <c r="G190" s="111" t="s">
        <v>54</v>
      </c>
      <c r="H190" s="112">
        <v>15633</v>
      </c>
      <c r="I190" s="112">
        <v>12987</v>
      </c>
      <c r="J190" s="112">
        <v>11584</v>
      </c>
      <c r="K190" s="112">
        <v>11006</v>
      </c>
      <c r="L190" s="112">
        <v>12228</v>
      </c>
      <c r="M190" s="112">
        <v>12590</v>
      </c>
      <c r="N190" s="112">
        <v>9645</v>
      </c>
      <c r="O190" s="112">
        <v>8277</v>
      </c>
      <c r="P190" s="112">
        <v>8734</v>
      </c>
      <c r="R190" s="111" t="s">
        <v>54</v>
      </c>
      <c r="S190" s="220">
        <v>6</v>
      </c>
      <c r="T190" s="220">
        <v>8.4</v>
      </c>
      <c r="U190" s="220">
        <v>8.9</v>
      </c>
      <c r="V190" s="220">
        <v>8.3000000000000007</v>
      </c>
      <c r="W190" s="220">
        <v>8.6</v>
      </c>
      <c r="X190" s="220">
        <v>9.5</v>
      </c>
      <c r="Y190" s="220">
        <v>9.8000000000000007</v>
      </c>
      <c r="Z190" s="220">
        <v>10.9</v>
      </c>
      <c r="AA190" s="220">
        <v>10.4</v>
      </c>
      <c r="AC190" s="111" t="s">
        <v>54</v>
      </c>
      <c r="AD190" s="112">
        <f t="shared" si="138"/>
        <v>1875.96</v>
      </c>
      <c r="AE190" s="112">
        <f t="shared" si="119"/>
        <v>2181.8160000000003</v>
      </c>
      <c r="AF190" s="112">
        <f t="shared" si="120"/>
        <v>2061.9520000000002</v>
      </c>
      <c r="AG190" s="112">
        <f t="shared" si="121"/>
        <v>1826.9960000000001</v>
      </c>
      <c r="AH190" s="112">
        <f t="shared" si="122"/>
        <v>2103.2159999999999</v>
      </c>
      <c r="AI190" s="112">
        <f t="shared" si="123"/>
        <v>2392.1</v>
      </c>
      <c r="AJ190" s="112">
        <f t="shared" si="124"/>
        <v>1890.42</v>
      </c>
      <c r="AK190" s="112">
        <f t="shared" si="135"/>
        <v>1804.386</v>
      </c>
      <c r="AL190" s="112">
        <f t="shared" si="136"/>
        <v>1816.672</v>
      </c>
      <c r="AN190" s="111" t="s">
        <v>54</v>
      </c>
      <c r="AO190" s="113">
        <f t="shared" ref="AO190:AW190" si="173">H190/H189</f>
        <v>0.26213152687883562</v>
      </c>
      <c r="AP190" s="113">
        <f t="shared" si="173"/>
        <v>0.21200150182014071</v>
      </c>
      <c r="AQ190" s="113">
        <f t="shared" si="173"/>
        <v>0.19107313693794742</v>
      </c>
      <c r="AR190" s="113">
        <f t="shared" si="173"/>
        <v>0.17737880350696236</v>
      </c>
      <c r="AS190" s="113">
        <f t="shared" si="173"/>
        <v>0.19501459260322473</v>
      </c>
      <c r="AT190" s="113">
        <f t="shared" si="173"/>
        <v>0.19660815791117497</v>
      </c>
      <c r="AU190" s="113">
        <f t="shared" si="173"/>
        <v>0.14926874564729553</v>
      </c>
      <c r="AV190" s="113">
        <f t="shared" si="173"/>
        <v>0.12820631970260224</v>
      </c>
      <c r="AW190" s="113">
        <f t="shared" si="173"/>
        <v>0.13256029262221683</v>
      </c>
      <c r="AY190" s="111" t="s">
        <v>54</v>
      </c>
      <c r="AZ190" s="204">
        <f t="shared" si="126"/>
        <v>3.1455783225460276E-2</v>
      </c>
      <c r="BA190" s="204">
        <f t="shared" si="127"/>
        <v>3.5616252305783642E-2</v>
      </c>
      <c r="BB190" s="204">
        <f t="shared" si="128"/>
        <v>3.4011018374954641E-2</v>
      </c>
      <c r="BC190" s="204">
        <f t="shared" si="129"/>
        <v>2.9444881382155758E-2</v>
      </c>
      <c r="BD190" s="204">
        <f t="shared" si="130"/>
        <v>3.3542509927754656E-2</v>
      </c>
      <c r="BE190" s="204">
        <f t="shared" si="131"/>
        <v>3.7355550003123246E-2</v>
      </c>
      <c r="BF190" s="204">
        <f t="shared" si="132"/>
        <v>2.9256674146869926E-2</v>
      </c>
      <c r="BG190" s="204">
        <f t="shared" si="133"/>
        <v>2.7948977695167288E-2</v>
      </c>
      <c r="BH190" s="204">
        <f t="shared" si="134"/>
        <v>2.7572540865421099E-2</v>
      </c>
    </row>
    <row r="191" spans="2:68" s="108" customFormat="1" x14ac:dyDescent="0.25">
      <c r="B191" s="107"/>
      <c r="E191" s="109" t="s">
        <v>5</v>
      </c>
      <c r="F191" s="110" t="s">
        <v>53</v>
      </c>
      <c r="G191" s="111" t="s">
        <v>55</v>
      </c>
      <c r="H191" s="205">
        <v>13583</v>
      </c>
      <c r="I191" s="205">
        <v>13783</v>
      </c>
      <c r="J191" s="205">
        <v>16194</v>
      </c>
      <c r="K191" s="205">
        <v>15177</v>
      </c>
      <c r="L191" s="205">
        <v>15753</v>
      </c>
      <c r="M191" s="205">
        <v>17937</v>
      </c>
      <c r="N191" s="205">
        <v>19801</v>
      </c>
      <c r="O191" s="112">
        <v>18428</v>
      </c>
      <c r="P191" s="112">
        <v>17630</v>
      </c>
      <c r="R191" s="111" t="s">
        <v>55</v>
      </c>
      <c r="S191" s="81">
        <v>6.5</v>
      </c>
      <c r="T191" s="81">
        <v>8.3000000000000007</v>
      </c>
      <c r="U191" s="81">
        <v>7.6</v>
      </c>
      <c r="V191" s="81">
        <v>7.1</v>
      </c>
      <c r="W191" s="81">
        <v>7.9</v>
      </c>
      <c r="X191" s="81">
        <v>8.1999999999999993</v>
      </c>
      <c r="Y191" s="81">
        <v>7.1</v>
      </c>
      <c r="Z191" s="81">
        <v>7.1</v>
      </c>
      <c r="AA191" s="81">
        <v>6.5</v>
      </c>
      <c r="AC191" s="111" t="s">
        <v>55</v>
      </c>
      <c r="AD191" s="70">
        <f t="shared" si="138"/>
        <v>1765.79</v>
      </c>
      <c r="AE191" s="70">
        <f t="shared" si="119"/>
        <v>2287.9780000000001</v>
      </c>
      <c r="AF191" s="70">
        <f t="shared" si="120"/>
        <v>2461.4879999999998</v>
      </c>
      <c r="AG191" s="70">
        <f t="shared" si="121"/>
        <v>2155.134</v>
      </c>
      <c r="AH191" s="70">
        <f t="shared" si="122"/>
        <v>2488.9740000000002</v>
      </c>
      <c r="AI191" s="70">
        <f t="shared" si="123"/>
        <v>2941.6679999999997</v>
      </c>
      <c r="AJ191" s="70">
        <f t="shared" si="124"/>
        <v>2811.7420000000002</v>
      </c>
      <c r="AK191" s="70">
        <f t="shared" si="135"/>
        <v>2616.7759999999998</v>
      </c>
      <c r="AL191" s="70">
        <f t="shared" si="136"/>
        <v>2291.9</v>
      </c>
      <c r="AN191" s="111" t="s">
        <v>55</v>
      </c>
      <c r="AO191" s="113">
        <f t="shared" ref="AO191:AW191" si="174">H191/H189</f>
        <v>0.22775747006941882</v>
      </c>
      <c r="AP191" s="113">
        <f t="shared" si="174"/>
        <v>0.22499551086370984</v>
      </c>
      <c r="AQ191" s="113">
        <f t="shared" si="174"/>
        <v>0.2671131197835912</v>
      </c>
      <c r="AR191" s="113">
        <f t="shared" si="174"/>
        <v>0.24460095410005156</v>
      </c>
      <c r="AS191" s="113">
        <f t="shared" si="174"/>
        <v>0.25123199846897276</v>
      </c>
      <c r="AT191" s="113">
        <f t="shared" si="174"/>
        <v>0.28010806421387968</v>
      </c>
      <c r="AU191" s="113">
        <f t="shared" si="174"/>
        <v>0.30644587170161725</v>
      </c>
      <c r="AV191" s="113">
        <f t="shared" si="174"/>
        <v>0.28543990086741017</v>
      </c>
      <c r="AW191" s="113">
        <f t="shared" si="174"/>
        <v>0.26757934038581205</v>
      </c>
      <c r="AY191" s="111" t="s">
        <v>55</v>
      </c>
      <c r="AZ191" s="204">
        <f t="shared" si="126"/>
        <v>2.9608471109024447E-2</v>
      </c>
      <c r="BA191" s="204">
        <f t="shared" si="127"/>
        <v>3.7349254803375836E-2</v>
      </c>
      <c r="BB191" s="204">
        <f t="shared" si="128"/>
        <v>4.060119420710586E-2</v>
      </c>
      <c r="BC191" s="204">
        <f t="shared" si="129"/>
        <v>3.473333548220732E-2</v>
      </c>
      <c r="BD191" s="204">
        <f t="shared" si="130"/>
        <v>3.9694655758097698E-2</v>
      </c>
      <c r="BE191" s="204">
        <f t="shared" si="131"/>
        <v>4.5937722531076267E-2</v>
      </c>
      <c r="BF191" s="204">
        <f t="shared" si="132"/>
        <v>4.3515313781629643E-2</v>
      </c>
      <c r="BG191" s="204">
        <f t="shared" si="133"/>
        <v>4.0532465923172244E-2</v>
      </c>
      <c r="BH191" s="204">
        <f t="shared" si="134"/>
        <v>3.4785314250155568E-2</v>
      </c>
    </row>
    <row r="192" spans="2:68" s="108" customFormat="1" x14ac:dyDescent="0.25">
      <c r="B192" s="107"/>
      <c r="E192" s="109" t="s">
        <v>5</v>
      </c>
      <c r="F192" s="110" t="s">
        <v>53</v>
      </c>
      <c r="G192" s="111" t="s">
        <v>130</v>
      </c>
      <c r="H192" s="205">
        <v>6916</v>
      </c>
      <c r="I192" s="205">
        <v>8519</v>
      </c>
      <c r="J192" s="205">
        <v>8424</v>
      </c>
      <c r="K192" s="205">
        <v>7337</v>
      </c>
      <c r="L192" s="205">
        <v>7973</v>
      </c>
      <c r="M192" s="205">
        <v>6225</v>
      </c>
      <c r="N192" s="205">
        <v>7932</v>
      </c>
      <c r="O192" s="112">
        <v>7014</v>
      </c>
      <c r="P192" s="112">
        <v>7781</v>
      </c>
      <c r="R192" s="111" t="s">
        <v>130</v>
      </c>
      <c r="S192" s="220">
        <v>9.8000000000000007</v>
      </c>
      <c r="T192" s="220">
        <v>10.9</v>
      </c>
      <c r="U192" s="220">
        <v>11</v>
      </c>
      <c r="V192" s="220">
        <v>10.7</v>
      </c>
      <c r="W192" s="220">
        <v>12</v>
      </c>
      <c r="X192" s="220">
        <v>14.7</v>
      </c>
      <c r="Y192" s="220">
        <v>12.4</v>
      </c>
      <c r="Z192" s="220">
        <v>11.7</v>
      </c>
      <c r="AA192" s="220">
        <v>11.2</v>
      </c>
      <c r="AC192" s="111" t="s">
        <v>130</v>
      </c>
      <c r="AD192" s="70">
        <f t="shared" si="138"/>
        <v>1355.5360000000001</v>
      </c>
      <c r="AE192" s="70">
        <f t="shared" si="119"/>
        <v>1857.1420000000001</v>
      </c>
      <c r="AF192" s="70">
        <f t="shared" si="120"/>
        <v>1853.28</v>
      </c>
      <c r="AG192" s="70">
        <f t="shared" si="121"/>
        <v>1570.1179999999999</v>
      </c>
      <c r="AH192" s="70">
        <f t="shared" si="122"/>
        <v>1913.52</v>
      </c>
      <c r="AI192" s="70">
        <f t="shared" si="123"/>
        <v>1830.15</v>
      </c>
      <c r="AJ192" s="70">
        <f t="shared" si="124"/>
        <v>1967.136</v>
      </c>
      <c r="AK192" s="70">
        <f t="shared" si="135"/>
        <v>1641.2759999999998</v>
      </c>
      <c r="AL192" s="70">
        <f t="shared" si="136"/>
        <v>1742.944</v>
      </c>
      <c r="AN192" s="111" t="s">
        <v>130</v>
      </c>
      <c r="AO192" s="113">
        <f t="shared" ref="AO192:AW192" si="175">H192/H189</f>
        <v>0.11596633019215936</v>
      </c>
      <c r="AP192" s="113">
        <f t="shared" si="175"/>
        <v>0.13906528020372516</v>
      </c>
      <c r="AQ192" s="113">
        <f t="shared" si="175"/>
        <v>0.13895028535611784</v>
      </c>
      <c r="AR192" s="113">
        <f t="shared" si="175"/>
        <v>0.11824716348633316</v>
      </c>
      <c r="AS192" s="113">
        <f t="shared" si="175"/>
        <v>0.12715500055818701</v>
      </c>
      <c r="AT192" s="113">
        <f t="shared" si="175"/>
        <v>9.7210943844087697E-2</v>
      </c>
      <c r="AU192" s="113">
        <f t="shared" si="175"/>
        <v>0.12275787355877119</v>
      </c>
      <c r="AV192" s="113">
        <f t="shared" si="175"/>
        <v>0.10864312267657993</v>
      </c>
      <c r="AW192" s="113">
        <f t="shared" si="175"/>
        <v>0.11809613429052772</v>
      </c>
      <c r="AY192" s="111" t="s">
        <v>130</v>
      </c>
      <c r="AZ192" s="204">
        <f t="shared" si="126"/>
        <v>2.2729400717663238E-2</v>
      </c>
      <c r="BA192" s="204">
        <f t="shared" si="127"/>
        <v>3.0316231084412087E-2</v>
      </c>
      <c r="BB192" s="204">
        <f t="shared" si="128"/>
        <v>3.0569062778345923E-2</v>
      </c>
      <c r="BC192" s="204">
        <f t="shared" si="129"/>
        <v>2.5304892986075297E-2</v>
      </c>
      <c r="BD192" s="204">
        <f t="shared" si="130"/>
        <v>3.0517200133964882E-2</v>
      </c>
      <c r="BE192" s="204">
        <f t="shared" si="131"/>
        <v>2.8580017490161782E-2</v>
      </c>
      <c r="BF192" s="204">
        <f t="shared" si="132"/>
        <v>3.0443952642575253E-2</v>
      </c>
      <c r="BG192" s="204">
        <f t="shared" si="133"/>
        <v>2.54224907063197E-2</v>
      </c>
      <c r="BH192" s="204">
        <f t="shared" si="134"/>
        <v>2.6453534081078211E-2</v>
      </c>
    </row>
    <row r="193" spans="2:68" s="108" customFormat="1" x14ac:dyDescent="0.25">
      <c r="B193" s="107"/>
      <c r="E193" s="109" t="s">
        <v>5</v>
      </c>
      <c r="F193" s="110" t="s">
        <v>53</v>
      </c>
      <c r="G193" s="111" t="s">
        <v>131</v>
      </c>
      <c r="H193" s="112">
        <v>23416</v>
      </c>
      <c r="I193" s="112">
        <v>25763</v>
      </c>
      <c r="J193" s="112">
        <v>24352</v>
      </c>
      <c r="K193" s="112">
        <v>28457</v>
      </c>
      <c r="L193" s="112">
        <v>26558</v>
      </c>
      <c r="M193" s="112">
        <v>26847</v>
      </c>
      <c r="N193" s="112">
        <v>26934</v>
      </c>
      <c r="O193" s="112">
        <v>30841</v>
      </c>
      <c r="P193" s="112">
        <v>31741</v>
      </c>
      <c r="R193" s="111" t="s">
        <v>131</v>
      </c>
      <c r="S193" s="220">
        <v>4.7</v>
      </c>
      <c r="T193" s="220">
        <v>4.2</v>
      </c>
      <c r="U193" s="220">
        <v>5.2</v>
      </c>
      <c r="V193" s="220">
        <v>4.5999999999999996</v>
      </c>
      <c r="W193" s="220">
        <v>4.7</v>
      </c>
      <c r="X193" s="220">
        <v>5.7</v>
      </c>
      <c r="Y193" s="220">
        <v>4.8</v>
      </c>
      <c r="Z193" s="220">
        <v>5.2</v>
      </c>
      <c r="AA193" s="220">
        <v>4.4000000000000004</v>
      </c>
      <c r="AC193" s="111" t="s">
        <v>131</v>
      </c>
      <c r="AD193" s="112">
        <f t="shared" si="138"/>
        <v>2201.1039999999998</v>
      </c>
      <c r="AE193" s="112">
        <f t="shared" si="119"/>
        <v>2164.0920000000001</v>
      </c>
      <c r="AF193" s="112">
        <f t="shared" si="120"/>
        <v>2532.6080000000002</v>
      </c>
      <c r="AG193" s="112">
        <f t="shared" si="121"/>
        <v>2618.0439999999999</v>
      </c>
      <c r="AH193" s="112">
        <f t="shared" si="122"/>
        <v>2496.4520000000002</v>
      </c>
      <c r="AI193" s="112">
        <f t="shared" si="123"/>
        <v>3060.558</v>
      </c>
      <c r="AJ193" s="112">
        <f t="shared" si="124"/>
        <v>2585.6639999999998</v>
      </c>
      <c r="AK193" s="112">
        <f t="shared" si="135"/>
        <v>3207.4640000000004</v>
      </c>
      <c r="AL193" s="112">
        <f t="shared" si="136"/>
        <v>2793.2080000000005</v>
      </c>
      <c r="AN193" s="111" t="s">
        <v>131</v>
      </c>
      <c r="AO193" s="113">
        <f t="shared" ref="AO193:AW193" si="176">H193/H189</f>
        <v>0.39263556792648985</v>
      </c>
      <c r="AP193" s="113">
        <f t="shared" si="176"/>
        <v>0.42055861179581777</v>
      </c>
      <c r="AQ193" s="113">
        <f t="shared" si="176"/>
        <v>0.40167584864579553</v>
      </c>
      <c r="AR193" s="113">
        <f t="shared" si="176"/>
        <v>0.45862880350696233</v>
      </c>
      <c r="AS193" s="113">
        <f t="shared" si="176"/>
        <v>0.42355230212270545</v>
      </c>
      <c r="AT193" s="113">
        <f t="shared" si="176"/>
        <v>0.41924854769192327</v>
      </c>
      <c r="AU193" s="113">
        <f t="shared" si="176"/>
        <v>0.4168381954654492</v>
      </c>
      <c r="AV193" s="113">
        <f t="shared" si="176"/>
        <v>0.47771065675340768</v>
      </c>
      <c r="AW193" s="113">
        <f t="shared" si="176"/>
        <v>0.48174905520057065</v>
      </c>
      <c r="AY193" s="111" t="s">
        <v>131</v>
      </c>
      <c r="AZ193" s="204">
        <f t="shared" si="126"/>
        <v>3.6907743385090043E-2</v>
      </c>
      <c r="BA193" s="204">
        <f t="shared" si="127"/>
        <v>3.5326923390848697E-2</v>
      </c>
      <c r="BB193" s="204">
        <f t="shared" si="128"/>
        <v>4.177428825916274E-2</v>
      </c>
      <c r="BC193" s="204">
        <f t="shared" si="129"/>
        <v>4.2193849922640532E-2</v>
      </c>
      <c r="BD193" s="204">
        <f t="shared" si="130"/>
        <v>3.9813916399534313E-2</v>
      </c>
      <c r="BE193" s="204">
        <f t="shared" si="131"/>
        <v>4.7794334436879256E-2</v>
      </c>
      <c r="BF193" s="204">
        <f t="shared" si="132"/>
        <v>4.0016466764683123E-2</v>
      </c>
      <c r="BG193" s="204">
        <f t="shared" si="133"/>
        <v>4.9681908302354402E-2</v>
      </c>
      <c r="BH193" s="204">
        <f t="shared" si="134"/>
        <v>4.2393916857650218E-2</v>
      </c>
    </row>
    <row r="194" spans="2:68" x14ac:dyDescent="0.3">
      <c r="H194" s="122" t="s">
        <v>122</v>
      </c>
      <c r="I194" s="122">
        <v>2003</v>
      </c>
      <c r="J194" s="122">
        <v>2005</v>
      </c>
      <c r="K194" s="122" t="s">
        <v>123</v>
      </c>
      <c r="L194" s="122" t="s">
        <v>124</v>
      </c>
      <c r="M194" s="122" t="s">
        <v>125</v>
      </c>
      <c r="N194" s="122" t="s">
        <v>126</v>
      </c>
      <c r="O194" s="122" t="s">
        <v>127</v>
      </c>
      <c r="P194" s="122" t="s">
        <v>128</v>
      </c>
      <c r="R194" s="111"/>
      <c r="S194" s="120" t="s">
        <v>122</v>
      </c>
      <c r="T194" s="121">
        <v>2003</v>
      </c>
      <c r="U194" s="121">
        <v>2005</v>
      </c>
      <c r="V194" s="122" t="s">
        <v>123</v>
      </c>
      <c r="W194" s="122" t="s">
        <v>124</v>
      </c>
      <c r="X194" s="122" t="s">
        <v>125</v>
      </c>
      <c r="Y194" s="122" t="s">
        <v>126</v>
      </c>
      <c r="Z194" s="122" t="s">
        <v>127</v>
      </c>
      <c r="AA194" s="122" t="s">
        <v>128</v>
      </c>
      <c r="AC194" s="197" t="s">
        <v>8</v>
      </c>
      <c r="AD194" s="120" t="s">
        <v>122</v>
      </c>
      <c r="AE194" s="121">
        <v>2003</v>
      </c>
      <c r="AF194" s="121">
        <v>2005</v>
      </c>
      <c r="AG194" s="122" t="s">
        <v>123</v>
      </c>
      <c r="AH194" s="122" t="s">
        <v>124</v>
      </c>
      <c r="AI194" s="122" t="s">
        <v>125</v>
      </c>
      <c r="AJ194" s="122" t="s">
        <v>126</v>
      </c>
      <c r="AK194" s="122" t="s">
        <v>127</v>
      </c>
      <c r="AL194" s="122" t="s">
        <v>128</v>
      </c>
      <c r="AN194" s="197" t="s">
        <v>8</v>
      </c>
      <c r="AO194" s="120" t="s">
        <v>122</v>
      </c>
      <c r="AP194" s="121">
        <v>2003</v>
      </c>
      <c r="AQ194" s="121">
        <v>2005</v>
      </c>
      <c r="AR194" s="122" t="s">
        <v>123</v>
      </c>
      <c r="AS194" s="122" t="s">
        <v>124</v>
      </c>
      <c r="AT194" s="122" t="s">
        <v>125</v>
      </c>
      <c r="AU194" s="122" t="s">
        <v>126</v>
      </c>
      <c r="AV194" s="122" t="s">
        <v>127</v>
      </c>
      <c r="AW194" s="122" t="s">
        <v>128</v>
      </c>
      <c r="AY194" s="197" t="s">
        <v>8</v>
      </c>
      <c r="AZ194" s="120" t="s">
        <v>122</v>
      </c>
      <c r="BA194" s="121">
        <v>2003</v>
      </c>
      <c r="BB194" s="121">
        <v>2005</v>
      </c>
      <c r="BC194" s="122" t="s">
        <v>123</v>
      </c>
      <c r="BD194" s="122" t="s">
        <v>124</v>
      </c>
      <c r="BE194" s="122" t="s">
        <v>125</v>
      </c>
      <c r="BF194" s="122" t="s">
        <v>126</v>
      </c>
      <c r="BG194" s="122" t="s">
        <v>127</v>
      </c>
      <c r="BH194" s="122" t="s">
        <v>128</v>
      </c>
    </row>
    <row r="195" spans="2:68" s="87" customFormat="1" x14ac:dyDescent="0.25">
      <c r="B195" s="84"/>
      <c r="C195" s="85"/>
      <c r="D195" s="85"/>
      <c r="E195" s="109" t="s">
        <v>0</v>
      </c>
      <c r="F195" s="110" t="s">
        <v>61</v>
      </c>
      <c r="G195" s="195" t="s">
        <v>7</v>
      </c>
      <c r="H195" s="69">
        <v>99873</v>
      </c>
      <c r="I195" s="69">
        <v>100553</v>
      </c>
      <c r="J195" s="69">
        <v>97381</v>
      </c>
      <c r="K195" s="69">
        <v>93158</v>
      </c>
      <c r="L195" s="69">
        <v>90050</v>
      </c>
      <c r="M195" s="69">
        <v>85462</v>
      </c>
      <c r="N195" s="69">
        <v>80165</v>
      </c>
      <c r="O195" s="69">
        <v>76913</v>
      </c>
      <c r="P195" s="69">
        <v>70829</v>
      </c>
      <c r="R195" s="195" t="s">
        <v>7</v>
      </c>
      <c r="S195" s="226">
        <v>1.6</v>
      </c>
      <c r="T195" s="226">
        <v>1.9</v>
      </c>
      <c r="U195" s="226">
        <v>1.8</v>
      </c>
      <c r="V195" s="226">
        <v>1.7</v>
      </c>
      <c r="W195" s="226">
        <v>1.9</v>
      </c>
      <c r="X195" s="226">
        <v>2.1</v>
      </c>
      <c r="Y195" s="226">
        <v>2</v>
      </c>
      <c r="Z195" s="226">
        <v>2.1</v>
      </c>
      <c r="AA195" s="226">
        <v>2.1</v>
      </c>
      <c r="AC195" s="195" t="s">
        <v>7</v>
      </c>
      <c r="AD195" s="69">
        <f>2*(H195*S195/100)</f>
        <v>3195.9360000000001</v>
      </c>
      <c r="AE195" s="69">
        <f t="shared" ref="AE195:AE234" si="177">2*(I195*T195/100)</f>
        <v>3821.0139999999997</v>
      </c>
      <c r="AF195" s="69">
        <f t="shared" ref="AF195:AF234" si="178">2*(J195*U195/100)</f>
        <v>3505.7160000000003</v>
      </c>
      <c r="AG195" s="69">
        <f t="shared" ref="AG195:AG234" si="179">2*(K195*V195/100)</f>
        <v>3167.3720000000003</v>
      </c>
      <c r="AH195" s="69">
        <f t="shared" ref="AH195:AH234" si="180">2*(L195*W195/100)</f>
        <v>3421.9</v>
      </c>
      <c r="AI195" s="69">
        <f t="shared" ref="AI195:AI234" si="181">2*(M195*X195/100)</f>
        <v>3589.4040000000005</v>
      </c>
      <c r="AJ195" s="69">
        <f t="shared" ref="AJ195:AJ234" si="182">2*(N195*Y195/100)</f>
        <v>3206.6</v>
      </c>
      <c r="AK195" s="69">
        <f>2*(O195*Z195/100)</f>
        <v>3230.3460000000005</v>
      </c>
      <c r="AL195" s="69">
        <f>2*(P195*AA195/100)</f>
        <v>2974.8179999999998</v>
      </c>
      <c r="AN195" s="195" t="s">
        <v>7</v>
      </c>
      <c r="AO195" s="98">
        <f t="shared" ref="AO195:AW195" si="183">H195/H195</f>
        <v>1</v>
      </c>
      <c r="AP195" s="98">
        <f t="shared" si="183"/>
        <v>1</v>
      </c>
      <c r="AQ195" s="98">
        <f t="shared" si="183"/>
        <v>1</v>
      </c>
      <c r="AR195" s="98">
        <f t="shared" si="183"/>
        <v>1</v>
      </c>
      <c r="AS195" s="98">
        <f t="shared" si="183"/>
        <v>1</v>
      </c>
      <c r="AT195" s="98">
        <f t="shared" si="183"/>
        <v>1</v>
      </c>
      <c r="AU195" s="98">
        <f t="shared" si="183"/>
        <v>1</v>
      </c>
      <c r="AV195" s="98">
        <f t="shared" si="183"/>
        <v>1</v>
      </c>
      <c r="AW195" s="98">
        <f t="shared" si="183"/>
        <v>1</v>
      </c>
      <c r="AX195" s="191"/>
      <c r="AY195" s="195" t="s">
        <v>7</v>
      </c>
      <c r="AZ195" s="178">
        <f t="shared" ref="AZ195:AZ234" si="184">2*(S195*AO195/100)</f>
        <v>3.2000000000000001E-2</v>
      </c>
      <c r="BA195" s="178">
        <f t="shared" ref="BA195:BA234" si="185">2*(T195*AP195/100)</f>
        <v>3.7999999999999999E-2</v>
      </c>
      <c r="BB195" s="178">
        <f t="shared" ref="BB195:BB234" si="186">2*(U195*AQ195/100)</f>
        <v>3.6000000000000004E-2</v>
      </c>
      <c r="BC195" s="178">
        <f t="shared" ref="BC195:BC234" si="187">2*(V195*AR195/100)</f>
        <v>3.4000000000000002E-2</v>
      </c>
      <c r="BD195" s="178">
        <f t="shared" ref="BD195:BD234" si="188">2*(W195*AS195/100)</f>
        <v>3.7999999999999999E-2</v>
      </c>
      <c r="BE195" s="178">
        <f t="shared" ref="BE195:BE234" si="189">2*(X195*AT195/100)</f>
        <v>4.2000000000000003E-2</v>
      </c>
      <c r="BF195" s="178">
        <f t="shared" ref="BF195:BF234" si="190">2*(Y195*AU195/100)</f>
        <v>0.04</v>
      </c>
      <c r="BG195" s="178">
        <f t="shared" ref="BG195:BG234" si="191">2*(Z195*AV195/100)</f>
        <v>4.2000000000000003E-2</v>
      </c>
      <c r="BH195" s="178">
        <f t="shared" ref="BH195:BH234" si="192">2*(AA195*AW195/100)</f>
        <v>4.2000000000000003E-2</v>
      </c>
      <c r="BI195" s="191"/>
      <c r="BJ195" s="191"/>
      <c r="BK195" s="191"/>
      <c r="BL195" s="191"/>
      <c r="BM195" s="191"/>
      <c r="BN195" s="191"/>
      <c r="BO195" s="191"/>
      <c r="BP195" s="191"/>
    </row>
    <row r="196" spans="2:68" s="108" customFormat="1" x14ac:dyDescent="0.25">
      <c r="B196" s="107"/>
      <c r="E196" s="109" t="s">
        <v>0</v>
      </c>
      <c r="F196" s="110" t="s">
        <v>61</v>
      </c>
      <c r="G196" s="111" t="s">
        <v>54</v>
      </c>
      <c r="H196" s="112">
        <v>18938</v>
      </c>
      <c r="I196" s="112">
        <v>13648</v>
      </c>
      <c r="J196" s="112">
        <v>9325</v>
      </c>
      <c r="K196" s="112">
        <v>9029</v>
      </c>
      <c r="L196" s="112">
        <v>8231</v>
      </c>
      <c r="M196" s="112">
        <v>11165</v>
      </c>
      <c r="N196" s="112">
        <v>8797</v>
      </c>
      <c r="O196" s="112">
        <v>5974</v>
      </c>
      <c r="P196" s="112" t="s">
        <v>129</v>
      </c>
      <c r="R196" s="111" t="s">
        <v>54</v>
      </c>
      <c r="S196" s="220">
        <v>10.7</v>
      </c>
      <c r="T196" s="220">
        <v>15.3</v>
      </c>
      <c r="U196" s="220">
        <v>17.100000000000001</v>
      </c>
      <c r="V196" s="220">
        <v>16.600000000000001</v>
      </c>
      <c r="W196" s="220">
        <v>20.399999999999999</v>
      </c>
      <c r="X196" s="220">
        <v>18.100000000000001</v>
      </c>
      <c r="Y196" s="220">
        <v>19.2</v>
      </c>
      <c r="Z196" s="220">
        <v>25.1</v>
      </c>
      <c r="AA196" s="220" t="s">
        <v>57</v>
      </c>
      <c r="AC196" s="111" t="s">
        <v>54</v>
      </c>
      <c r="AD196" s="112">
        <f>2*(H196*S196/100)</f>
        <v>4052.7319999999995</v>
      </c>
      <c r="AE196" s="112">
        <f t="shared" si="177"/>
        <v>4176.2880000000005</v>
      </c>
      <c r="AF196" s="112">
        <f t="shared" si="178"/>
        <v>3189.15</v>
      </c>
      <c r="AG196" s="112">
        <f t="shared" si="179"/>
        <v>2997.6280000000006</v>
      </c>
      <c r="AH196" s="112">
        <f t="shared" si="180"/>
        <v>3358.248</v>
      </c>
      <c r="AI196" s="112">
        <f t="shared" si="181"/>
        <v>4041.7300000000005</v>
      </c>
      <c r="AJ196" s="112">
        <f t="shared" si="182"/>
        <v>3378.0479999999998</v>
      </c>
      <c r="AK196" s="112">
        <f t="shared" ref="AK196:AK234" si="193">2*(O196*Z196/100)</f>
        <v>2998.9479999999999</v>
      </c>
      <c r="AL196" s="112" t="e">
        <f t="shared" ref="AL196:AL234" si="194">2*(P196*AA196/100)</f>
        <v>#VALUE!</v>
      </c>
      <c r="AN196" s="111" t="s">
        <v>54</v>
      </c>
      <c r="AO196" s="113">
        <f t="shared" ref="AO196:AW196" si="195">H196/H195</f>
        <v>0.18962081843941805</v>
      </c>
      <c r="AP196" s="113">
        <f t="shared" si="195"/>
        <v>0.13572941632770777</v>
      </c>
      <c r="AQ196" s="113">
        <f t="shared" si="195"/>
        <v>9.575789938489028E-2</v>
      </c>
      <c r="AR196" s="113">
        <f t="shared" si="195"/>
        <v>9.6921359410893318E-2</v>
      </c>
      <c r="AS196" s="113">
        <f t="shared" si="195"/>
        <v>9.1404775124930587E-2</v>
      </c>
      <c r="AT196" s="113">
        <f t="shared" si="195"/>
        <v>0.13064285881444385</v>
      </c>
      <c r="AU196" s="113">
        <f t="shared" si="195"/>
        <v>0.1097361691511258</v>
      </c>
      <c r="AV196" s="113">
        <f t="shared" si="195"/>
        <v>7.7672175054932194E-2</v>
      </c>
      <c r="AW196" s="113" t="e">
        <f t="shared" si="195"/>
        <v>#VALUE!</v>
      </c>
      <c r="AY196" s="111" t="s">
        <v>54</v>
      </c>
      <c r="AZ196" s="179">
        <f t="shared" si="184"/>
        <v>4.0578855146035459E-2</v>
      </c>
      <c r="BA196" s="179">
        <f t="shared" si="185"/>
        <v>4.1533201396278578E-2</v>
      </c>
      <c r="BB196" s="179">
        <f t="shared" si="186"/>
        <v>3.274920158963248E-2</v>
      </c>
      <c r="BC196" s="179">
        <f t="shared" si="187"/>
        <v>3.2177891324416584E-2</v>
      </c>
      <c r="BD196" s="179">
        <f t="shared" si="188"/>
        <v>3.7293148250971672E-2</v>
      </c>
      <c r="BE196" s="179">
        <f t="shared" si="189"/>
        <v>4.7292714890828674E-2</v>
      </c>
      <c r="BF196" s="179">
        <f t="shared" si="190"/>
        <v>4.2138688954032305E-2</v>
      </c>
      <c r="BG196" s="179">
        <f t="shared" si="191"/>
        <v>3.8991431877575963E-2</v>
      </c>
      <c r="BH196" s="179" t="e">
        <f t="shared" si="192"/>
        <v>#VALUE!</v>
      </c>
    </row>
    <row r="197" spans="2:68" s="108" customFormat="1" x14ac:dyDescent="0.25">
      <c r="B197" s="107"/>
      <c r="E197" s="109" t="s">
        <v>0</v>
      </c>
      <c r="F197" s="110" t="s">
        <v>61</v>
      </c>
      <c r="G197" s="111" t="s">
        <v>55</v>
      </c>
      <c r="H197" s="70" t="s">
        <v>129</v>
      </c>
      <c r="I197" s="70" t="s">
        <v>129</v>
      </c>
      <c r="J197" s="112" t="s">
        <v>129</v>
      </c>
      <c r="K197" s="112" t="s">
        <v>129</v>
      </c>
      <c r="L197" s="112" t="s">
        <v>129</v>
      </c>
      <c r="M197" s="112" t="s">
        <v>129</v>
      </c>
      <c r="N197" s="112" t="s">
        <v>129</v>
      </c>
      <c r="O197" s="112" t="s">
        <v>129</v>
      </c>
      <c r="P197" s="112" t="s">
        <v>129</v>
      </c>
      <c r="R197" s="111" t="s">
        <v>55</v>
      </c>
      <c r="S197" s="81" t="s">
        <v>57</v>
      </c>
      <c r="T197" s="81" t="s">
        <v>57</v>
      </c>
      <c r="U197" s="81" t="s">
        <v>57</v>
      </c>
      <c r="V197" s="81" t="s">
        <v>57</v>
      </c>
      <c r="W197" s="81" t="s">
        <v>57</v>
      </c>
      <c r="X197" s="81" t="s">
        <v>57</v>
      </c>
      <c r="Y197" s="81" t="s">
        <v>57</v>
      </c>
      <c r="Z197" s="81" t="s">
        <v>57</v>
      </c>
      <c r="AA197" s="81" t="s">
        <v>57</v>
      </c>
      <c r="AC197" s="111" t="s">
        <v>55</v>
      </c>
      <c r="AD197" s="70" t="e">
        <f t="shared" ref="AD197:AD234" si="196">2*(H197*S197/100)</f>
        <v>#VALUE!</v>
      </c>
      <c r="AE197" s="70" t="e">
        <f t="shared" si="177"/>
        <v>#VALUE!</v>
      </c>
      <c r="AF197" s="70" t="e">
        <f t="shared" si="178"/>
        <v>#VALUE!</v>
      </c>
      <c r="AG197" s="70" t="e">
        <f t="shared" si="179"/>
        <v>#VALUE!</v>
      </c>
      <c r="AH197" s="70" t="e">
        <f t="shared" si="180"/>
        <v>#VALUE!</v>
      </c>
      <c r="AI197" s="70" t="e">
        <f t="shared" si="181"/>
        <v>#VALUE!</v>
      </c>
      <c r="AJ197" s="70" t="e">
        <f t="shared" si="182"/>
        <v>#VALUE!</v>
      </c>
      <c r="AK197" s="70" t="e">
        <f t="shared" si="193"/>
        <v>#VALUE!</v>
      </c>
      <c r="AL197" s="70" t="e">
        <f t="shared" si="194"/>
        <v>#VALUE!</v>
      </c>
      <c r="AN197" s="111" t="s">
        <v>55</v>
      </c>
      <c r="AO197" s="113" t="e">
        <f t="shared" ref="AO197:AW197" si="197">H197/H195</f>
        <v>#VALUE!</v>
      </c>
      <c r="AP197" s="113" t="e">
        <f t="shared" si="197"/>
        <v>#VALUE!</v>
      </c>
      <c r="AQ197" s="113" t="e">
        <f t="shared" si="197"/>
        <v>#VALUE!</v>
      </c>
      <c r="AR197" s="113" t="e">
        <f t="shared" si="197"/>
        <v>#VALUE!</v>
      </c>
      <c r="AS197" s="113" t="e">
        <f t="shared" si="197"/>
        <v>#VALUE!</v>
      </c>
      <c r="AT197" s="113" t="e">
        <f t="shared" si="197"/>
        <v>#VALUE!</v>
      </c>
      <c r="AU197" s="113" t="e">
        <f t="shared" si="197"/>
        <v>#VALUE!</v>
      </c>
      <c r="AV197" s="113" t="e">
        <f t="shared" si="197"/>
        <v>#VALUE!</v>
      </c>
      <c r="AW197" s="113" t="e">
        <f t="shared" si="197"/>
        <v>#VALUE!</v>
      </c>
      <c r="AY197" s="111" t="s">
        <v>55</v>
      </c>
      <c r="AZ197" s="179" t="e">
        <f t="shared" si="184"/>
        <v>#VALUE!</v>
      </c>
      <c r="BA197" s="179" t="e">
        <f t="shared" si="185"/>
        <v>#VALUE!</v>
      </c>
      <c r="BB197" s="179" t="e">
        <f t="shared" si="186"/>
        <v>#VALUE!</v>
      </c>
      <c r="BC197" s="179" t="e">
        <f t="shared" si="187"/>
        <v>#VALUE!</v>
      </c>
      <c r="BD197" s="179" t="e">
        <f t="shared" si="188"/>
        <v>#VALUE!</v>
      </c>
      <c r="BE197" s="179" t="e">
        <f t="shared" si="189"/>
        <v>#VALUE!</v>
      </c>
      <c r="BF197" s="179" t="e">
        <f t="shared" si="190"/>
        <v>#VALUE!</v>
      </c>
      <c r="BG197" s="179" t="e">
        <f t="shared" si="191"/>
        <v>#VALUE!</v>
      </c>
      <c r="BH197" s="179" t="e">
        <f t="shared" si="192"/>
        <v>#VALUE!</v>
      </c>
    </row>
    <row r="198" spans="2:68" s="108" customFormat="1" x14ac:dyDescent="0.25">
      <c r="B198" s="107"/>
      <c r="E198" s="109" t="s">
        <v>0</v>
      </c>
      <c r="F198" s="110" t="s">
        <v>61</v>
      </c>
      <c r="G198" s="111" t="s">
        <v>130</v>
      </c>
      <c r="H198" s="70">
        <v>11488</v>
      </c>
      <c r="I198" s="70">
        <v>16391</v>
      </c>
      <c r="J198" s="70">
        <v>11576</v>
      </c>
      <c r="K198" s="70">
        <v>6837</v>
      </c>
      <c r="L198" s="70">
        <v>7434</v>
      </c>
      <c r="M198" s="70">
        <v>5778</v>
      </c>
      <c r="N198" s="70">
        <v>4015</v>
      </c>
      <c r="O198" s="112" t="s">
        <v>129</v>
      </c>
      <c r="P198" s="112" t="s">
        <v>129</v>
      </c>
      <c r="R198" s="111" t="s">
        <v>130</v>
      </c>
      <c r="S198" s="220">
        <v>14.1</v>
      </c>
      <c r="T198" s="220">
        <v>13.9</v>
      </c>
      <c r="U198" s="220">
        <v>15.3</v>
      </c>
      <c r="V198" s="220">
        <v>20.8</v>
      </c>
      <c r="W198" s="220">
        <v>21.8</v>
      </c>
      <c r="X198" s="220">
        <v>27.5</v>
      </c>
      <c r="Y198" s="220">
        <v>27.8</v>
      </c>
      <c r="Z198" s="220" t="s">
        <v>57</v>
      </c>
      <c r="AA198" s="220" t="s">
        <v>57</v>
      </c>
      <c r="AC198" s="111" t="s">
        <v>130</v>
      </c>
      <c r="AD198" s="70">
        <f t="shared" si="196"/>
        <v>3239.616</v>
      </c>
      <c r="AE198" s="70">
        <f t="shared" si="177"/>
        <v>4556.6980000000003</v>
      </c>
      <c r="AF198" s="70">
        <f t="shared" si="178"/>
        <v>3542.2560000000003</v>
      </c>
      <c r="AG198" s="70">
        <f t="shared" si="179"/>
        <v>2844.192</v>
      </c>
      <c r="AH198" s="70">
        <f t="shared" si="180"/>
        <v>3241.2240000000002</v>
      </c>
      <c r="AI198" s="70">
        <f t="shared" si="181"/>
        <v>3177.9</v>
      </c>
      <c r="AJ198" s="70">
        <f t="shared" si="182"/>
        <v>2232.34</v>
      </c>
      <c r="AK198" s="70" t="e">
        <f t="shared" si="193"/>
        <v>#VALUE!</v>
      </c>
      <c r="AL198" s="70" t="e">
        <f t="shared" si="194"/>
        <v>#VALUE!</v>
      </c>
      <c r="AN198" s="111" t="s">
        <v>130</v>
      </c>
      <c r="AO198" s="113">
        <f t="shared" ref="AO198:AW198" si="198">H198/H195</f>
        <v>0.11502608312556947</v>
      </c>
      <c r="AP198" s="113">
        <f t="shared" si="198"/>
        <v>0.16300856264855351</v>
      </c>
      <c r="AQ198" s="113">
        <f t="shared" si="198"/>
        <v>0.11887329150450293</v>
      </c>
      <c r="AR198" s="113">
        <f t="shared" si="198"/>
        <v>7.3391442495545203E-2</v>
      </c>
      <c r="AS198" s="113">
        <f t="shared" si="198"/>
        <v>8.2554136590782895E-2</v>
      </c>
      <c r="AT198" s="113">
        <f t="shared" si="198"/>
        <v>6.7608995811003728E-2</v>
      </c>
      <c r="AU198" s="113">
        <f t="shared" si="198"/>
        <v>5.0084201334747086E-2</v>
      </c>
      <c r="AV198" s="113" t="e">
        <f t="shared" si="198"/>
        <v>#VALUE!</v>
      </c>
      <c r="AW198" s="113" t="e">
        <f t="shared" si="198"/>
        <v>#VALUE!</v>
      </c>
      <c r="AY198" s="111" t="s">
        <v>130</v>
      </c>
      <c r="AZ198" s="179">
        <f t="shared" si="184"/>
        <v>3.243735544141059E-2</v>
      </c>
      <c r="BA198" s="179">
        <f t="shared" si="185"/>
        <v>4.5316380416297875E-2</v>
      </c>
      <c r="BB198" s="179">
        <f t="shared" si="186"/>
        <v>3.6375227200377898E-2</v>
      </c>
      <c r="BC198" s="179">
        <f t="shared" si="187"/>
        <v>3.0530840078146805E-2</v>
      </c>
      <c r="BD198" s="179">
        <f t="shared" si="188"/>
        <v>3.5993603553581346E-2</v>
      </c>
      <c r="BE198" s="179">
        <f t="shared" si="189"/>
        <v>3.7184947696052052E-2</v>
      </c>
      <c r="BF198" s="179">
        <f t="shared" si="190"/>
        <v>2.7846815942119379E-2</v>
      </c>
      <c r="BG198" s="179" t="e">
        <f t="shared" si="191"/>
        <v>#VALUE!</v>
      </c>
      <c r="BH198" s="179" t="e">
        <f t="shared" si="192"/>
        <v>#VALUE!</v>
      </c>
    </row>
    <row r="199" spans="2:68" s="108" customFormat="1" x14ac:dyDescent="0.25">
      <c r="B199" s="107"/>
      <c r="E199" s="109" t="s">
        <v>0</v>
      </c>
      <c r="F199" s="110" t="s">
        <v>61</v>
      </c>
      <c r="G199" s="111" t="s">
        <v>131</v>
      </c>
      <c r="H199" s="112">
        <v>66285</v>
      </c>
      <c r="I199" s="112">
        <v>67653</v>
      </c>
      <c r="J199" s="112">
        <v>73418</v>
      </c>
      <c r="K199" s="112">
        <v>75057</v>
      </c>
      <c r="L199" s="112">
        <v>73909</v>
      </c>
      <c r="M199" s="112">
        <v>66574</v>
      </c>
      <c r="N199" s="112">
        <v>66077</v>
      </c>
      <c r="O199" s="112">
        <v>64802</v>
      </c>
      <c r="P199" s="112">
        <v>60299</v>
      </c>
      <c r="R199" s="111" t="s">
        <v>131</v>
      </c>
      <c r="S199" s="220">
        <v>5.8</v>
      </c>
      <c r="T199" s="220">
        <v>5.3</v>
      </c>
      <c r="U199" s="220">
        <v>4.4000000000000004</v>
      </c>
      <c r="V199" s="220">
        <v>3.3</v>
      </c>
      <c r="W199" s="220">
        <v>3.9</v>
      </c>
      <c r="X199" s="220">
        <v>4.3</v>
      </c>
      <c r="Y199" s="220">
        <v>3.7</v>
      </c>
      <c r="Z199" s="220">
        <v>2.2999999999999998</v>
      </c>
      <c r="AA199" s="220">
        <v>2.2999999999999998</v>
      </c>
      <c r="AC199" s="111" t="s">
        <v>131</v>
      </c>
      <c r="AD199" s="112">
        <f t="shared" si="196"/>
        <v>7689.06</v>
      </c>
      <c r="AE199" s="112">
        <f t="shared" si="177"/>
        <v>7171.2179999999989</v>
      </c>
      <c r="AF199" s="112">
        <f t="shared" si="178"/>
        <v>6460.7840000000006</v>
      </c>
      <c r="AG199" s="112">
        <f t="shared" si="179"/>
        <v>4953.7619999999997</v>
      </c>
      <c r="AH199" s="112">
        <f t="shared" si="180"/>
        <v>5764.9019999999991</v>
      </c>
      <c r="AI199" s="112">
        <f t="shared" si="181"/>
        <v>5725.3640000000005</v>
      </c>
      <c r="AJ199" s="112">
        <f t="shared" si="182"/>
        <v>4889.6980000000003</v>
      </c>
      <c r="AK199" s="112">
        <f t="shared" si="193"/>
        <v>2980.8919999999994</v>
      </c>
      <c r="AL199" s="112">
        <f t="shared" si="194"/>
        <v>2773.7539999999995</v>
      </c>
      <c r="AN199" s="111" t="s">
        <v>131</v>
      </c>
      <c r="AO199" s="113">
        <f t="shared" ref="AO199:AW199" si="199">H199/H195</f>
        <v>0.66369288997026221</v>
      </c>
      <c r="AP199" s="113">
        <f t="shared" si="199"/>
        <v>0.67280936421588611</v>
      </c>
      <c r="AQ199" s="113">
        <f t="shared" si="199"/>
        <v>0.75392530370400801</v>
      </c>
      <c r="AR199" s="113">
        <f t="shared" si="199"/>
        <v>0.80569569977887034</v>
      </c>
      <c r="AS199" s="113">
        <f t="shared" si="199"/>
        <v>0.82075513603553585</v>
      </c>
      <c r="AT199" s="113">
        <f t="shared" si="199"/>
        <v>0.77898949240598159</v>
      </c>
      <c r="AU199" s="113">
        <f t="shared" si="199"/>
        <v>0.82426245867897463</v>
      </c>
      <c r="AV199" s="113">
        <f t="shared" si="199"/>
        <v>0.84253637226476663</v>
      </c>
      <c r="AW199" s="113">
        <f t="shared" si="199"/>
        <v>0.8513320814920442</v>
      </c>
      <c r="AY199" s="111" t="s">
        <v>131</v>
      </c>
      <c r="AZ199" s="179">
        <f t="shared" si="184"/>
        <v>7.6988375236550416E-2</v>
      </c>
      <c r="BA199" s="179">
        <f t="shared" si="185"/>
        <v>7.1317792606883923E-2</v>
      </c>
      <c r="BB199" s="179">
        <f t="shared" si="186"/>
        <v>6.6345426725952714E-2</v>
      </c>
      <c r="BC199" s="179">
        <f t="shared" si="187"/>
        <v>5.3175916185405445E-2</v>
      </c>
      <c r="BD199" s="179">
        <f t="shared" si="188"/>
        <v>6.4018900610771798E-2</v>
      </c>
      <c r="BE199" s="179">
        <f t="shared" si="189"/>
        <v>6.6993096346914416E-2</v>
      </c>
      <c r="BF199" s="179">
        <f t="shared" si="190"/>
        <v>6.0995421942244124E-2</v>
      </c>
      <c r="BG199" s="179">
        <f t="shared" si="191"/>
        <v>3.8756673124179263E-2</v>
      </c>
      <c r="BH199" s="179">
        <f t="shared" si="192"/>
        <v>3.9161275748634032E-2</v>
      </c>
    </row>
    <row r="200" spans="2:68" s="87" customFormat="1" x14ac:dyDescent="0.25">
      <c r="B200" s="84"/>
      <c r="C200" s="85"/>
      <c r="D200" s="85"/>
      <c r="E200" s="109" t="s">
        <v>1</v>
      </c>
      <c r="F200" s="110" t="s">
        <v>61</v>
      </c>
      <c r="G200" s="195" t="s">
        <v>7</v>
      </c>
      <c r="H200" s="69">
        <v>121878</v>
      </c>
      <c r="I200" s="69">
        <v>119004</v>
      </c>
      <c r="J200" s="69">
        <v>117266</v>
      </c>
      <c r="K200" s="69">
        <v>116366</v>
      </c>
      <c r="L200" s="69">
        <v>115768</v>
      </c>
      <c r="M200" s="69">
        <v>117146</v>
      </c>
      <c r="N200" s="69">
        <v>117583</v>
      </c>
      <c r="O200" s="69">
        <v>114771</v>
      </c>
      <c r="P200" s="69">
        <v>122167</v>
      </c>
      <c r="R200" s="195" t="s">
        <v>7</v>
      </c>
      <c r="S200" s="226">
        <v>1.6</v>
      </c>
      <c r="T200" s="226">
        <v>1.9</v>
      </c>
      <c r="U200" s="226">
        <v>1.7</v>
      </c>
      <c r="V200" s="226">
        <v>1.7</v>
      </c>
      <c r="W200" s="226">
        <v>1.7</v>
      </c>
      <c r="X200" s="226">
        <v>2</v>
      </c>
      <c r="Y200" s="226">
        <v>1.6</v>
      </c>
      <c r="Z200" s="226">
        <v>1.8</v>
      </c>
      <c r="AA200" s="226">
        <v>1.8</v>
      </c>
      <c r="AC200" s="195" t="s">
        <v>7</v>
      </c>
      <c r="AD200" s="69">
        <f t="shared" si="196"/>
        <v>3900.0960000000005</v>
      </c>
      <c r="AE200" s="69">
        <f t="shared" si="177"/>
        <v>4522.1519999999991</v>
      </c>
      <c r="AF200" s="69">
        <f t="shared" si="178"/>
        <v>3987.0439999999999</v>
      </c>
      <c r="AG200" s="69">
        <f t="shared" si="179"/>
        <v>3956.4439999999995</v>
      </c>
      <c r="AH200" s="69">
        <f t="shared" si="180"/>
        <v>3936.1120000000001</v>
      </c>
      <c r="AI200" s="69">
        <f t="shared" si="181"/>
        <v>4685.84</v>
      </c>
      <c r="AJ200" s="69">
        <f t="shared" si="182"/>
        <v>3762.6560000000004</v>
      </c>
      <c r="AK200" s="69">
        <f t="shared" si="193"/>
        <v>4131.7560000000003</v>
      </c>
      <c r="AL200" s="69">
        <f t="shared" si="194"/>
        <v>4398.0119999999997</v>
      </c>
      <c r="AN200" s="195" t="s">
        <v>7</v>
      </c>
      <c r="AO200" s="98">
        <f t="shared" ref="AO200:AW200" si="200">H200/H200</f>
        <v>1</v>
      </c>
      <c r="AP200" s="98">
        <f t="shared" si="200"/>
        <v>1</v>
      </c>
      <c r="AQ200" s="98">
        <f t="shared" si="200"/>
        <v>1</v>
      </c>
      <c r="AR200" s="98">
        <f t="shared" si="200"/>
        <v>1</v>
      </c>
      <c r="AS200" s="98">
        <f t="shared" si="200"/>
        <v>1</v>
      </c>
      <c r="AT200" s="98">
        <f t="shared" si="200"/>
        <v>1</v>
      </c>
      <c r="AU200" s="98">
        <f t="shared" si="200"/>
        <v>1</v>
      </c>
      <c r="AV200" s="98">
        <f t="shared" si="200"/>
        <v>1</v>
      </c>
      <c r="AW200" s="98">
        <f t="shared" si="200"/>
        <v>1</v>
      </c>
      <c r="AX200" s="191"/>
      <c r="AY200" s="195" t="s">
        <v>7</v>
      </c>
      <c r="AZ200" s="178">
        <f t="shared" si="184"/>
        <v>3.2000000000000001E-2</v>
      </c>
      <c r="BA200" s="178">
        <f t="shared" si="185"/>
        <v>3.7999999999999999E-2</v>
      </c>
      <c r="BB200" s="178">
        <f t="shared" si="186"/>
        <v>3.4000000000000002E-2</v>
      </c>
      <c r="BC200" s="178">
        <f t="shared" si="187"/>
        <v>3.4000000000000002E-2</v>
      </c>
      <c r="BD200" s="178">
        <f t="shared" si="188"/>
        <v>3.4000000000000002E-2</v>
      </c>
      <c r="BE200" s="178">
        <f t="shared" si="189"/>
        <v>0.04</v>
      </c>
      <c r="BF200" s="178">
        <f t="shared" si="190"/>
        <v>3.2000000000000001E-2</v>
      </c>
      <c r="BG200" s="178">
        <f t="shared" si="191"/>
        <v>3.6000000000000004E-2</v>
      </c>
      <c r="BH200" s="178">
        <f t="shared" si="192"/>
        <v>3.6000000000000004E-2</v>
      </c>
      <c r="BI200" s="191"/>
      <c r="BJ200" s="191"/>
      <c r="BK200" s="191"/>
      <c r="BL200" s="191"/>
      <c r="BM200" s="191"/>
      <c r="BN200" s="191"/>
      <c r="BO200" s="191"/>
      <c r="BP200" s="191"/>
    </row>
    <row r="201" spans="2:68" s="108" customFormat="1" x14ac:dyDescent="0.25">
      <c r="B201" s="107"/>
      <c r="E201" s="109" t="s">
        <v>1</v>
      </c>
      <c r="F201" s="110" t="s">
        <v>61</v>
      </c>
      <c r="G201" s="111" t="s">
        <v>54</v>
      </c>
      <c r="H201" s="112">
        <v>40847</v>
      </c>
      <c r="I201" s="112">
        <v>38388</v>
      </c>
      <c r="J201" s="112">
        <v>37128</v>
      </c>
      <c r="K201" s="112">
        <v>38592</v>
      </c>
      <c r="L201" s="112">
        <v>36016</v>
      </c>
      <c r="M201" s="112">
        <v>35136</v>
      </c>
      <c r="N201" s="112">
        <v>31372</v>
      </c>
      <c r="O201" s="112">
        <v>28813</v>
      </c>
      <c r="P201" s="112">
        <v>24649</v>
      </c>
      <c r="R201" s="111" t="s">
        <v>54</v>
      </c>
      <c r="S201" s="220">
        <v>6.5</v>
      </c>
      <c r="T201" s="220">
        <v>8.5</v>
      </c>
      <c r="U201" s="220">
        <v>7.7</v>
      </c>
      <c r="V201" s="220">
        <v>7.1</v>
      </c>
      <c r="W201" s="220">
        <v>8.4</v>
      </c>
      <c r="X201" s="220">
        <v>8.9</v>
      </c>
      <c r="Y201" s="220">
        <v>9</v>
      </c>
      <c r="Z201" s="220">
        <v>10</v>
      </c>
      <c r="AA201" s="220">
        <v>10.3</v>
      </c>
      <c r="AC201" s="111" t="s">
        <v>54</v>
      </c>
      <c r="AD201" s="112">
        <f t="shared" si="196"/>
        <v>5310.11</v>
      </c>
      <c r="AE201" s="112">
        <f t="shared" si="177"/>
        <v>6525.96</v>
      </c>
      <c r="AF201" s="112">
        <f t="shared" si="178"/>
        <v>5717.7120000000004</v>
      </c>
      <c r="AG201" s="112">
        <f t="shared" si="179"/>
        <v>5480.0640000000003</v>
      </c>
      <c r="AH201" s="112">
        <f t="shared" si="180"/>
        <v>6050.6880000000001</v>
      </c>
      <c r="AI201" s="112">
        <f t="shared" si="181"/>
        <v>6254.2080000000005</v>
      </c>
      <c r="AJ201" s="112">
        <f t="shared" si="182"/>
        <v>5646.96</v>
      </c>
      <c r="AK201" s="112">
        <f t="shared" si="193"/>
        <v>5762.6</v>
      </c>
      <c r="AL201" s="112">
        <f t="shared" si="194"/>
        <v>5077.6940000000004</v>
      </c>
      <c r="AN201" s="111" t="s">
        <v>54</v>
      </c>
      <c r="AO201" s="113">
        <f t="shared" ref="AO201:AW201" si="201">H201/H200</f>
        <v>0.33514662203186796</v>
      </c>
      <c r="AP201" s="113">
        <f t="shared" si="201"/>
        <v>0.32257739235655947</v>
      </c>
      <c r="AQ201" s="113">
        <f t="shared" si="201"/>
        <v>0.31661351116265585</v>
      </c>
      <c r="AR201" s="113">
        <f t="shared" si="201"/>
        <v>0.33164326349621021</v>
      </c>
      <c r="AS201" s="113">
        <f t="shared" si="201"/>
        <v>0.31110496855780528</v>
      </c>
      <c r="AT201" s="113">
        <f t="shared" si="201"/>
        <v>0.29993341642053506</v>
      </c>
      <c r="AU201" s="113">
        <f t="shared" si="201"/>
        <v>0.26680727656208808</v>
      </c>
      <c r="AV201" s="113">
        <f t="shared" si="201"/>
        <v>0.25104773854022355</v>
      </c>
      <c r="AW201" s="113">
        <f t="shared" si="201"/>
        <v>0.20176479736753788</v>
      </c>
      <c r="AY201" s="111" t="s">
        <v>54</v>
      </c>
      <c r="AZ201" s="179">
        <f t="shared" si="184"/>
        <v>4.3569060864142833E-2</v>
      </c>
      <c r="BA201" s="179">
        <f t="shared" si="185"/>
        <v>5.4838156700615114E-2</v>
      </c>
      <c r="BB201" s="179">
        <f t="shared" si="186"/>
        <v>4.8758480719049001E-2</v>
      </c>
      <c r="BC201" s="179">
        <f t="shared" si="187"/>
        <v>4.7093343416461847E-2</v>
      </c>
      <c r="BD201" s="179">
        <f t="shared" si="188"/>
        <v>5.2265634717711291E-2</v>
      </c>
      <c r="BE201" s="179">
        <f t="shared" si="189"/>
        <v>5.3388148122855243E-2</v>
      </c>
      <c r="BF201" s="179">
        <f t="shared" si="190"/>
        <v>4.8025309781175848E-2</v>
      </c>
      <c r="BG201" s="179">
        <f t="shared" si="191"/>
        <v>5.0209547708044706E-2</v>
      </c>
      <c r="BH201" s="179">
        <f t="shared" si="192"/>
        <v>4.1563548257712808E-2</v>
      </c>
    </row>
    <row r="202" spans="2:68" s="108" customFormat="1" x14ac:dyDescent="0.25">
      <c r="B202" s="107"/>
      <c r="E202" s="109" t="s">
        <v>1</v>
      </c>
      <c r="F202" s="110" t="s">
        <v>61</v>
      </c>
      <c r="G202" s="111" t="s">
        <v>55</v>
      </c>
      <c r="H202" s="70">
        <v>22526</v>
      </c>
      <c r="I202" s="70">
        <v>19464</v>
      </c>
      <c r="J202" s="70">
        <v>19796</v>
      </c>
      <c r="K202" s="70">
        <v>18121</v>
      </c>
      <c r="L202" s="70">
        <v>17218</v>
      </c>
      <c r="M202" s="70">
        <v>16404</v>
      </c>
      <c r="N202" s="70">
        <v>16464</v>
      </c>
      <c r="O202" s="112">
        <v>15769</v>
      </c>
      <c r="P202" s="112">
        <v>10612</v>
      </c>
      <c r="R202" s="111" t="s">
        <v>55</v>
      </c>
      <c r="S202" s="81">
        <v>9.9</v>
      </c>
      <c r="T202" s="81">
        <v>12.7</v>
      </c>
      <c r="U202" s="81">
        <v>11.5</v>
      </c>
      <c r="V202" s="81">
        <v>11.4</v>
      </c>
      <c r="W202" s="81">
        <v>13.2</v>
      </c>
      <c r="X202" s="81">
        <v>15</v>
      </c>
      <c r="Y202" s="81">
        <v>13.5</v>
      </c>
      <c r="Z202" s="81">
        <v>14.1</v>
      </c>
      <c r="AA202" s="81">
        <v>17.3</v>
      </c>
      <c r="AC202" s="111" t="s">
        <v>55</v>
      </c>
      <c r="AD202" s="70">
        <f t="shared" si="196"/>
        <v>4460.1480000000001</v>
      </c>
      <c r="AE202" s="70">
        <f t="shared" si="177"/>
        <v>4943.8559999999998</v>
      </c>
      <c r="AF202" s="70">
        <f t="shared" si="178"/>
        <v>4553.08</v>
      </c>
      <c r="AG202" s="70">
        <f t="shared" si="179"/>
        <v>4131.5879999999997</v>
      </c>
      <c r="AH202" s="70">
        <f t="shared" si="180"/>
        <v>4545.5519999999997</v>
      </c>
      <c r="AI202" s="70">
        <f t="shared" si="181"/>
        <v>4921.2</v>
      </c>
      <c r="AJ202" s="70">
        <f t="shared" si="182"/>
        <v>4445.28</v>
      </c>
      <c r="AK202" s="70">
        <f t="shared" si="193"/>
        <v>4446.8580000000002</v>
      </c>
      <c r="AL202" s="70">
        <f t="shared" si="194"/>
        <v>3671.752</v>
      </c>
      <c r="AN202" s="111" t="s">
        <v>55</v>
      </c>
      <c r="AO202" s="113">
        <f t="shared" ref="AO202:AW202" si="202">H202/H200</f>
        <v>0.1848241684307258</v>
      </c>
      <c r="AP202" s="113">
        <f t="shared" si="202"/>
        <v>0.16355752747806795</v>
      </c>
      <c r="AQ202" s="113">
        <f t="shared" si="202"/>
        <v>0.16881278460934968</v>
      </c>
      <c r="AR202" s="113">
        <f t="shared" si="202"/>
        <v>0.1557241806025815</v>
      </c>
      <c r="AS202" s="113">
        <f t="shared" si="202"/>
        <v>0.14872849146569</v>
      </c>
      <c r="AT202" s="113">
        <f t="shared" si="202"/>
        <v>0.14003038942857632</v>
      </c>
      <c r="AU202" s="113">
        <f t="shared" si="202"/>
        <v>0.14002024102123606</v>
      </c>
      <c r="AV202" s="113">
        <f t="shared" si="202"/>
        <v>0.13739533505850782</v>
      </c>
      <c r="AW202" s="113">
        <f t="shared" si="202"/>
        <v>8.6864701596994276E-2</v>
      </c>
      <c r="AY202" s="111" t="s">
        <v>55</v>
      </c>
      <c r="AZ202" s="179">
        <f t="shared" si="184"/>
        <v>3.6595185349283708E-2</v>
      </c>
      <c r="BA202" s="179">
        <f t="shared" si="185"/>
        <v>4.1543611979429261E-2</v>
      </c>
      <c r="BB202" s="179">
        <f t="shared" si="186"/>
        <v>3.8826940460150422E-2</v>
      </c>
      <c r="BC202" s="179">
        <f t="shared" si="187"/>
        <v>3.5505113177388588E-2</v>
      </c>
      <c r="BD202" s="179">
        <f t="shared" si="188"/>
        <v>3.9264321746942159E-2</v>
      </c>
      <c r="BE202" s="179">
        <f t="shared" si="189"/>
        <v>4.2009116828572897E-2</v>
      </c>
      <c r="BF202" s="179">
        <f t="shared" si="190"/>
        <v>3.7805465075733735E-2</v>
      </c>
      <c r="BG202" s="179">
        <f t="shared" si="191"/>
        <v>3.8745484486499199E-2</v>
      </c>
      <c r="BH202" s="179">
        <f t="shared" si="192"/>
        <v>3.0055186752560022E-2</v>
      </c>
    </row>
    <row r="203" spans="2:68" s="108" customFormat="1" x14ac:dyDescent="0.25">
      <c r="B203" s="107"/>
      <c r="E203" s="109" t="s">
        <v>1</v>
      </c>
      <c r="F203" s="110" t="s">
        <v>61</v>
      </c>
      <c r="G203" s="111" t="s">
        <v>130</v>
      </c>
      <c r="H203" s="70">
        <v>21980</v>
      </c>
      <c r="I203" s="70">
        <v>16405</v>
      </c>
      <c r="J203" s="70">
        <v>19350</v>
      </c>
      <c r="K203" s="70">
        <v>14667</v>
      </c>
      <c r="L203" s="70">
        <v>15346</v>
      </c>
      <c r="M203" s="70">
        <v>15147</v>
      </c>
      <c r="N203" s="70">
        <v>17109</v>
      </c>
      <c r="O203" s="112">
        <v>15299</v>
      </c>
      <c r="P203" s="112">
        <v>21752</v>
      </c>
      <c r="R203" s="111" t="s">
        <v>130</v>
      </c>
      <c r="S203" s="220">
        <v>9.9</v>
      </c>
      <c r="T203" s="220">
        <v>14.3</v>
      </c>
      <c r="U203" s="220">
        <v>11.5</v>
      </c>
      <c r="V203" s="220">
        <v>13.3</v>
      </c>
      <c r="W203" s="220">
        <v>14.5</v>
      </c>
      <c r="X203" s="220">
        <v>15.5</v>
      </c>
      <c r="Y203" s="220">
        <v>12.8</v>
      </c>
      <c r="Z203" s="220">
        <v>14.1</v>
      </c>
      <c r="AA203" s="220">
        <v>11.3</v>
      </c>
      <c r="AC203" s="111" t="s">
        <v>130</v>
      </c>
      <c r="AD203" s="70">
        <f t="shared" si="196"/>
        <v>4352.04</v>
      </c>
      <c r="AE203" s="70">
        <f t="shared" si="177"/>
        <v>4691.83</v>
      </c>
      <c r="AF203" s="70">
        <f t="shared" si="178"/>
        <v>4450.5</v>
      </c>
      <c r="AG203" s="70">
        <f t="shared" si="179"/>
        <v>3901.422</v>
      </c>
      <c r="AH203" s="70">
        <f t="shared" si="180"/>
        <v>4450.34</v>
      </c>
      <c r="AI203" s="70">
        <f t="shared" si="181"/>
        <v>4695.57</v>
      </c>
      <c r="AJ203" s="70">
        <f t="shared" si="182"/>
        <v>4379.9040000000005</v>
      </c>
      <c r="AK203" s="70">
        <f t="shared" si="193"/>
        <v>4314.3180000000002</v>
      </c>
      <c r="AL203" s="70">
        <f t="shared" si="194"/>
        <v>4915.9520000000002</v>
      </c>
      <c r="AN203" s="111" t="s">
        <v>130</v>
      </c>
      <c r="AO203" s="113">
        <f t="shared" ref="AO203:AW203" si="203">H203/H200</f>
        <v>0.18034427870493444</v>
      </c>
      <c r="AP203" s="113">
        <f t="shared" si="203"/>
        <v>0.13785250915935598</v>
      </c>
      <c r="AQ203" s="113">
        <f t="shared" si="203"/>
        <v>0.16500946565927038</v>
      </c>
      <c r="AR203" s="113">
        <f t="shared" si="203"/>
        <v>0.12604197102246362</v>
      </c>
      <c r="AS203" s="113">
        <f t="shared" si="203"/>
        <v>0.13255821988805197</v>
      </c>
      <c r="AT203" s="113">
        <f t="shared" si="203"/>
        <v>0.12930018950711078</v>
      </c>
      <c r="AU203" s="113">
        <f t="shared" si="203"/>
        <v>0.14550572786882457</v>
      </c>
      <c r="AV203" s="113">
        <f t="shared" si="203"/>
        <v>0.13330022392416202</v>
      </c>
      <c r="AW203" s="113">
        <f t="shared" si="203"/>
        <v>0.178051355930816</v>
      </c>
      <c r="AY203" s="111" t="s">
        <v>130</v>
      </c>
      <c r="AZ203" s="179">
        <f t="shared" si="184"/>
        <v>3.5708167183577021E-2</v>
      </c>
      <c r="BA203" s="179">
        <f t="shared" si="185"/>
        <v>3.9425817619575809E-2</v>
      </c>
      <c r="BB203" s="179">
        <f t="shared" si="186"/>
        <v>3.7952177101632192E-2</v>
      </c>
      <c r="BC203" s="179">
        <f t="shared" si="187"/>
        <v>3.3527164291975324E-2</v>
      </c>
      <c r="BD203" s="179">
        <f t="shared" si="188"/>
        <v>3.8441883767535073E-2</v>
      </c>
      <c r="BE203" s="179">
        <f t="shared" si="189"/>
        <v>4.0083058747204338E-2</v>
      </c>
      <c r="BF203" s="179">
        <f t="shared" si="190"/>
        <v>3.7249466334419092E-2</v>
      </c>
      <c r="BG203" s="179">
        <f t="shared" si="191"/>
        <v>3.759066314661369E-2</v>
      </c>
      <c r="BH203" s="179">
        <f t="shared" si="192"/>
        <v>4.0239606440364416E-2</v>
      </c>
    </row>
    <row r="204" spans="2:68" s="108" customFormat="1" x14ac:dyDescent="0.25">
      <c r="B204" s="107"/>
      <c r="E204" s="109" t="s">
        <v>1</v>
      </c>
      <c r="F204" s="110" t="s">
        <v>61</v>
      </c>
      <c r="G204" s="111" t="s">
        <v>131</v>
      </c>
      <c r="H204" s="112">
        <v>36524</v>
      </c>
      <c r="I204" s="112">
        <v>44747</v>
      </c>
      <c r="J204" s="112">
        <v>40993</v>
      </c>
      <c r="K204" s="112">
        <v>44986</v>
      </c>
      <c r="L204" s="112">
        <v>47188</v>
      </c>
      <c r="M204" s="112">
        <v>50458</v>
      </c>
      <c r="N204" s="112">
        <v>52638</v>
      </c>
      <c r="O204" s="112">
        <v>54890</v>
      </c>
      <c r="P204" s="112">
        <v>65154</v>
      </c>
      <c r="R204" s="111" t="s">
        <v>131</v>
      </c>
      <c r="S204" s="220">
        <v>8.1</v>
      </c>
      <c r="T204" s="220">
        <v>7.2</v>
      </c>
      <c r="U204" s="220">
        <v>7.2</v>
      </c>
      <c r="V204" s="220">
        <v>6.7</v>
      </c>
      <c r="W204" s="220">
        <v>6.8</v>
      </c>
      <c r="X204" s="220">
        <v>6.9</v>
      </c>
      <c r="Y204" s="220">
        <v>6</v>
      </c>
      <c r="Z204" s="220">
        <v>6.3</v>
      </c>
      <c r="AA204" s="220">
        <v>6.2</v>
      </c>
      <c r="AC204" s="111" t="s">
        <v>131</v>
      </c>
      <c r="AD204" s="112">
        <f t="shared" si="196"/>
        <v>5916.887999999999</v>
      </c>
      <c r="AE204" s="112">
        <f t="shared" si="177"/>
        <v>6443.5680000000002</v>
      </c>
      <c r="AF204" s="112">
        <f t="shared" si="178"/>
        <v>5902.9920000000011</v>
      </c>
      <c r="AG204" s="112">
        <f t="shared" si="179"/>
        <v>6028.1239999999998</v>
      </c>
      <c r="AH204" s="112">
        <f t="shared" si="180"/>
        <v>6417.5679999999993</v>
      </c>
      <c r="AI204" s="112">
        <f t="shared" si="181"/>
        <v>6963.2040000000006</v>
      </c>
      <c r="AJ204" s="112">
        <f t="shared" si="182"/>
        <v>6316.56</v>
      </c>
      <c r="AK204" s="112">
        <f t="shared" si="193"/>
        <v>6916.14</v>
      </c>
      <c r="AL204" s="112">
        <f t="shared" si="194"/>
        <v>8079.0959999999995</v>
      </c>
      <c r="AN204" s="111" t="s">
        <v>131</v>
      </c>
      <c r="AO204" s="113">
        <f t="shared" ref="AO204:AW204" si="204">H204/H200</f>
        <v>0.29967672590623412</v>
      </c>
      <c r="AP204" s="113">
        <f t="shared" si="204"/>
        <v>0.37601257100601659</v>
      </c>
      <c r="AQ204" s="113">
        <f t="shared" si="204"/>
        <v>0.34957276618968841</v>
      </c>
      <c r="AR204" s="113">
        <f t="shared" si="204"/>
        <v>0.38659058487874465</v>
      </c>
      <c r="AS204" s="113">
        <f t="shared" si="204"/>
        <v>0.40760832008845277</v>
      </c>
      <c r="AT204" s="113">
        <f t="shared" si="204"/>
        <v>0.43072746828743619</v>
      </c>
      <c r="AU204" s="113">
        <f t="shared" si="204"/>
        <v>0.44766675454785132</v>
      </c>
      <c r="AV204" s="113">
        <f t="shared" si="204"/>
        <v>0.47825670247710661</v>
      </c>
      <c r="AW204" s="113">
        <f t="shared" si="204"/>
        <v>0.53331914510465184</v>
      </c>
      <c r="AY204" s="111" t="s">
        <v>131</v>
      </c>
      <c r="AZ204" s="179">
        <f t="shared" si="184"/>
        <v>4.8547629596809923E-2</v>
      </c>
      <c r="BA204" s="179">
        <f t="shared" si="185"/>
        <v>5.4145810224866392E-2</v>
      </c>
      <c r="BB204" s="179">
        <f t="shared" si="186"/>
        <v>5.0338478331315127E-2</v>
      </c>
      <c r="BC204" s="179">
        <f t="shared" si="187"/>
        <v>5.1803138373751778E-2</v>
      </c>
      <c r="BD204" s="179">
        <f t="shared" si="188"/>
        <v>5.5434731532029574E-2</v>
      </c>
      <c r="BE204" s="179">
        <f t="shared" si="189"/>
        <v>5.9440390623666198E-2</v>
      </c>
      <c r="BF204" s="179">
        <f t="shared" si="190"/>
        <v>5.3720010545742165E-2</v>
      </c>
      <c r="BG204" s="179">
        <f t="shared" si="191"/>
        <v>6.0260344512115427E-2</v>
      </c>
      <c r="BH204" s="179">
        <f t="shared" si="192"/>
        <v>6.6131573992976825E-2</v>
      </c>
    </row>
    <row r="205" spans="2:68" s="87" customFormat="1" x14ac:dyDescent="0.25">
      <c r="B205" s="84"/>
      <c r="C205" s="85"/>
      <c r="D205" s="85"/>
      <c r="E205" s="109" t="s">
        <v>2</v>
      </c>
      <c r="F205" s="110" t="s">
        <v>61</v>
      </c>
      <c r="G205" s="195" t="s">
        <v>7</v>
      </c>
      <c r="H205" s="69">
        <v>217093</v>
      </c>
      <c r="I205" s="69">
        <v>209645</v>
      </c>
      <c r="J205" s="69">
        <v>197094</v>
      </c>
      <c r="K205" s="69">
        <v>184648</v>
      </c>
      <c r="L205" s="69">
        <v>175813</v>
      </c>
      <c r="M205" s="69">
        <v>168572</v>
      </c>
      <c r="N205" s="69">
        <v>165993</v>
      </c>
      <c r="O205" s="69">
        <v>164144</v>
      </c>
      <c r="P205" s="69">
        <v>165899</v>
      </c>
      <c r="R205" s="195" t="s">
        <v>7</v>
      </c>
      <c r="S205" s="226">
        <v>1.1000000000000001</v>
      </c>
      <c r="T205" s="226">
        <v>1.3</v>
      </c>
      <c r="U205" s="226">
        <v>1.4</v>
      </c>
      <c r="V205" s="226">
        <v>1.4</v>
      </c>
      <c r="W205" s="226">
        <v>1.5</v>
      </c>
      <c r="X205" s="226">
        <v>1.6</v>
      </c>
      <c r="Y205" s="226">
        <v>1.5</v>
      </c>
      <c r="Z205" s="226">
        <v>1.8</v>
      </c>
      <c r="AA205" s="226">
        <v>1.5</v>
      </c>
      <c r="AC205" s="195" t="s">
        <v>7</v>
      </c>
      <c r="AD205" s="69">
        <f t="shared" si="196"/>
        <v>4776.0460000000003</v>
      </c>
      <c r="AE205" s="69">
        <f t="shared" si="177"/>
        <v>5450.77</v>
      </c>
      <c r="AF205" s="69">
        <f t="shared" si="178"/>
        <v>5518.6319999999996</v>
      </c>
      <c r="AG205" s="69">
        <f t="shared" si="179"/>
        <v>5170.1439999999993</v>
      </c>
      <c r="AH205" s="69">
        <f t="shared" si="180"/>
        <v>5274.39</v>
      </c>
      <c r="AI205" s="69">
        <f t="shared" si="181"/>
        <v>5394.3040000000001</v>
      </c>
      <c r="AJ205" s="69">
        <f t="shared" si="182"/>
        <v>4979.79</v>
      </c>
      <c r="AK205" s="69">
        <f t="shared" si="193"/>
        <v>5909.1840000000002</v>
      </c>
      <c r="AL205" s="69">
        <f t="shared" si="194"/>
        <v>4976.97</v>
      </c>
      <c r="AN205" s="195" t="s">
        <v>7</v>
      </c>
      <c r="AO205" s="98">
        <f t="shared" ref="AO205:AW205" si="205">H205/H205</f>
        <v>1</v>
      </c>
      <c r="AP205" s="98">
        <f t="shared" si="205"/>
        <v>1</v>
      </c>
      <c r="AQ205" s="98">
        <f t="shared" si="205"/>
        <v>1</v>
      </c>
      <c r="AR205" s="98">
        <f t="shared" si="205"/>
        <v>1</v>
      </c>
      <c r="AS205" s="98">
        <f t="shared" si="205"/>
        <v>1</v>
      </c>
      <c r="AT205" s="98">
        <f t="shared" si="205"/>
        <v>1</v>
      </c>
      <c r="AU205" s="98">
        <f t="shared" si="205"/>
        <v>1</v>
      </c>
      <c r="AV205" s="98">
        <f t="shared" si="205"/>
        <v>1</v>
      </c>
      <c r="AW205" s="98">
        <f t="shared" si="205"/>
        <v>1</v>
      </c>
      <c r="AX205" s="191"/>
      <c r="AY205" s="195" t="s">
        <v>7</v>
      </c>
      <c r="AZ205" s="178">
        <f t="shared" si="184"/>
        <v>2.2000000000000002E-2</v>
      </c>
      <c r="BA205" s="178">
        <f t="shared" si="185"/>
        <v>2.6000000000000002E-2</v>
      </c>
      <c r="BB205" s="178">
        <f t="shared" si="186"/>
        <v>2.7999999999999997E-2</v>
      </c>
      <c r="BC205" s="178">
        <f t="shared" si="187"/>
        <v>2.7999999999999997E-2</v>
      </c>
      <c r="BD205" s="178">
        <f t="shared" si="188"/>
        <v>0.03</v>
      </c>
      <c r="BE205" s="178">
        <f t="shared" si="189"/>
        <v>3.2000000000000001E-2</v>
      </c>
      <c r="BF205" s="178">
        <f t="shared" si="190"/>
        <v>0.03</v>
      </c>
      <c r="BG205" s="178">
        <f t="shared" si="191"/>
        <v>3.6000000000000004E-2</v>
      </c>
      <c r="BH205" s="178">
        <f t="shared" si="192"/>
        <v>0.03</v>
      </c>
      <c r="BI205" s="191"/>
      <c r="BJ205" s="191"/>
      <c r="BK205" s="191"/>
      <c r="BL205" s="191"/>
      <c r="BM205" s="191"/>
      <c r="BN205" s="191"/>
      <c r="BO205" s="191"/>
      <c r="BP205" s="191"/>
    </row>
    <row r="206" spans="2:68" s="108" customFormat="1" x14ac:dyDescent="0.25">
      <c r="B206" s="107"/>
      <c r="E206" s="109" t="s">
        <v>2</v>
      </c>
      <c r="F206" s="110" t="s">
        <v>61</v>
      </c>
      <c r="G206" s="111" t="s">
        <v>54</v>
      </c>
      <c r="H206" s="112">
        <v>79051</v>
      </c>
      <c r="I206" s="112">
        <v>66640</v>
      </c>
      <c r="J206" s="112">
        <v>62630</v>
      </c>
      <c r="K206" s="112">
        <v>55522</v>
      </c>
      <c r="L206" s="112">
        <v>47879</v>
      </c>
      <c r="M206" s="112">
        <v>41475</v>
      </c>
      <c r="N206" s="112">
        <v>52537</v>
      </c>
      <c r="O206" s="112">
        <v>33396</v>
      </c>
      <c r="P206" s="112">
        <v>34314</v>
      </c>
      <c r="R206" s="111" t="s">
        <v>54</v>
      </c>
      <c r="S206" s="220">
        <v>4.5999999999999996</v>
      </c>
      <c r="T206" s="220">
        <v>6</v>
      </c>
      <c r="U206" s="220">
        <v>5.9</v>
      </c>
      <c r="V206" s="220">
        <v>5.7</v>
      </c>
      <c r="W206" s="220">
        <v>7.6</v>
      </c>
      <c r="X206" s="220">
        <v>8.6</v>
      </c>
      <c r="Y206" s="220">
        <v>6.4</v>
      </c>
      <c r="Z206" s="220">
        <v>9.4</v>
      </c>
      <c r="AA206" s="220">
        <v>9.1999999999999993</v>
      </c>
      <c r="AC206" s="111" t="s">
        <v>54</v>
      </c>
      <c r="AD206" s="112">
        <f t="shared" si="196"/>
        <v>7272.6919999999991</v>
      </c>
      <c r="AE206" s="112">
        <f t="shared" si="177"/>
        <v>7996.8</v>
      </c>
      <c r="AF206" s="112">
        <f t="shared" si="178"/>
        <v>7390.34</v>
      </c>
      <c r="AG206" s="112">
        <f t="shared" si="179"/>
        <v>6329.5080000000007</v>
      </c>
      <c r="AH206" s="112">
        <f t="shared" si="180"/>
        <v>7277.6079999999993</v>
      </c>
      <c r="AI206" s="112">
        <f t="shared" si="181"/>
        <v>7133.7</v>
      </c>
      <c r="AJ206" s="112">
        <f t="shared" si="182"/>
        <v>6724.7360000000008</v>
      </c>
      <c r="AK206" s="112">
        <f t="shared" si="193"/>
        <v>6278.4480000000003</v>
      </c>
      <c r="AL206" s="112">
        <f t="shared" si="194"/>
        <v>6313.7759999999998</v>
      </c>
      <c r="AN206" s="111" t="s">
        <v>54</v>
      </c>
      <c r="AO206" s="113">
        <f t="shared" ref="AO206:AW206" si="206">H206/H205</f>
        <v>0.36413426503848578</v>
      </c>
      <c r="AP206" s="113">
        <f t="shared" si="206"/>
        <v>0.31787068615993702</v>
      </c>
      <c r="AQ206" s="113">
        <f t="shared" si="206"/>
        <v>0.31776715678813156</v>
      </c>
      <c r="AR206" s="113">
        <f t="shared" si="206"/>
        <v>0.30069104458212381</v>
      </c>
      <c r="AS206" s="113">
        <f t="shared" si="206"/>
        <v>0.27232912241984381</v>
      </c>
      <c r="AT206" s="113">
        <f t="shared" si="206"/>
        <v>0.24603730156846926</v>
      </c>
      <c r="AU206" s="113">
        <f t="shared" si="206"/>
        <v>0.31650129824751644</v>
      </c>
      <c r="AV206" s="113">
        <f t="shared" si="206"/>
        <v>0.20345550248562239</v>
      </c>
      <c r="AW206" s="113">
        <f t="shared" si="206"/>
        <v>0.20683668979318742</v>
      </c>
      <c r="AY206" s="111" t="s">
        <v>54</v>
      </c>
      <c r="AZ206" s="179">
        <f t="shared" si="184"/>
        <v>3.3500352383540689E-2</v>
      </c>
      <c r="BA206" s="179">
        <f t="shared" si="185"/>
        <v>3.8144482339192445E-2</v>
      </c>
      <c r="BB206" s="179">
        <f t="shared" si="186"/>
        <v>3.7496524500999523E-2</v>
      </c>
      <c r="BC206" s="179">
        <f t="shared" si="187"/>
        <v>3.4278779082362119E-2</v>
      </c>
      <c r="BD206" s="179">
        <f t="shared" si="188"/>
        <v>4.1394026607816256E-2</v>
      </c>
      <c r="BE206" s="179">
        <f t="shared" si="189"/>
        <v>4.2318415869776714E-2</v>
      </c>
      <c r="BF206" s="179">
        <f t="shared" si="190"/>
        <v>4.051216617568211E-2</v>
      </c>
      <c r="BG206" s="179">
        <f t="shared" si="191"/>
        <v>3.8249634467297011E-2</v>
      </c>
      <c r="BH206" s="179">
        <f t="shared" si="192"/>
        <v>3.8057950921946485E-2</v>
      </c>
    </row>
    <row r="207" spans="2:68" s="108" customFormat="1" x14ac:dyDescent="0.25">
      <c r="B207" s="107"/>
      <c r="E207" s="109" t="s">
        <v>2</v>
      </c>
      <c r="F207" s="110" t="s">
        <v>61</v>
      </c>
      <c r="G207" s="111" t="s">
        <v>55</v>
      </c>
      <c r="H207" s="70">
        <v>49492</v>
      </c>
      <c r="I207" s="70">
        <v>61079</v>
      </c>
      <c r="J207" s="70">
        <v>52368</v>
      </c>
      <c r="K207" s="70">
        <v>50640</v>
      </c>
      <c r="L207" s="70">
        <v>37627</v>
      </c>
      <c r="M207" s="70">
        <v>41584</v>
      </c>
      <c r="N207" s="70">
        <v>38739</v>
      </c>
      <c r="O207" s="112">
        <v>39502</v>
      </c>
      <c r="P207" s="112">
        <v>37275</v>
      </c>
      <c r="R207" s="111" t="s">
        <v>55</v>
      </c>
      <c r="S207" s="81">
        <v>6.6</v>
      </c>
      <c r="T207" s="81">
        <v>6.7</v>
      </c>
      <c r="U207" s="81">
        <v>6.6</v>
      </c>
      <c r="V207" s="81">
        <v>6.1</v>
      </c>
      <c r="W207" s="81">
        <v>9.6999999999999993</v>
      </c>
      <c r="X207" s="81">
        <v>8.6</v>
      </c>
      <c r="Y207" s="81">
        <v>8.6</v>
      </c>
      <c r="Z207" s="81">
        <v>8.6999999999999993</v>
      </c>
      <c r="AA207" s="81">
        <v>8.5</v>
      </c>
      <c r="AC207" s="111" t="s">
        <v>55</v>
      </c>
      <c r="AD207" s="70">
        <f t="shared" si="196"/>
        <v>6532.9439999999995</v>
      </c>
      <c r="AE207" s="70">
        <f t="shared" si="177"/>
        <v>8184.5859999999993</v>
      </c>
      <c r="AF207" s="70">
        <f t="shared" si="178"/>
        <v>6912.576</v>
      </c>
      <c r="AG207" s="70">
        <f t="shared" si="179"/>
        <v>6178.08</v>
      </c>
      <c r="AH207" s="70">
        <f t="shared" si="180"/>
        <v>7299.637999999999</v>
      </c>
      <c r="AI207" s="70">
        <f t="shared" si="181"/>
        <v>7152.4479999999994</v>
      </c>
      <c r="AJ207" s="70">
        <f t="shared" si="182"/>
        <v>6663.1079999999993</v>
      </c>
      <c r="AK207" s="70">
        <f t="shared" si="193"/>
        <v>6873.347999999999</v>
      </c>
      <c r="AL207" s="70">
        <f t="shared" si="194"/>
        <v>6336.75</v>
      </c>
      <c r="AN207" s="111" t="s">
        <v>55</v>
      </c>
      <c r="AO207" s="113">
        <f t="shared" ref="AO207:AW207" si="207">H207/H205</f>
        <v>0.22797602870659117</v>
      </c>
      <c r="AP207" s="113">
        <f t="shared" si="207"/>
        <v>0.29134489255646451</v>
      </c>
      <c r="AQ207" s="113">
        <f t="shared" si="207"/>
        <v>0.26570063015616913</v>
      </c>
      <c r="AR207" s="113">
        <f t="shared" si="207"/>
        <v>0.27425154889302888</v>
      </c>
      <c r="AS207" s="113">
        <f t="shared" si="207"/>
        <v>0.21401716596611173</v>
      </c>
      <c r="AT207" s="113">
        <f t="shared" si="207"/>
        <v>0.24668390954606934</v>
      </c>
      <c r="AU207" s="113">
        <f t="shared" si="207"/>
        <v>0.23337731109143156</v>
      </c>
      <c r="AV207" s="113">
        <f t="shared" si="207"/>
        <v>0.24065454722682522</v>
      </c>
      <c r="AW207" s="113">
        <f t="shared" si="207"/>
        <v>0.22468489864315036</v>
      </c>
      <c r="AY207" s="111" t="s">
        <v>55</v>
      </c>
      <c r="AZ207" s="179">
        <f t="shared" si="184"/>
        <v>3.0092835789270033E-2</v>
      </c>
      <c r="BA207" s="179">
        <f t="shared" si="185"/>
        <v>3.9040215602566243E-2</v>
      </c>
      <c r="BB207" s="179">
        <f t="shared" si="186"/>
        <v>3.5072483180614324E-2</v>
      </c>
      <c r="BC207" s="179">
        <f t="shared" si="187"/>
        <v>3.3458688964949523E-2</v>
      </c>
      <c r="BD207" s="179">
        <f t="shared" si="188"/>
        <v>4.1519330197425673E-2</v>
      </c>
      <c r="BE207" s="179">
        <f t="shared" si="189"/>
        <v>4.2429632441923923E-2</v>
      </c>
      <c r="BF207" s="179">
        <f t="shared" si="190"/>
        <v>4.0140897507726231E-2</v>
      </c>
      <c r="BG207" s="179">
        <f t="shared" si="191"/>
        <v>4.1873891217467589E-2</v>
      </c>
      <c r="BH207" s="179">
        <f t="shared" si="192"/>
        <v>3.8196432769335563E-2</v>
      </c>
    </row>
    <row r="208" spans="2:68" s="108" customFormat="1" x14ac:dyDescent="0.25">
      <c r="B208" s="107"/>
      <c r="E208" s="109" t="s">
        <v>2</v>
      </c>
      <c r="F208" s="110" t="s">
        <v>61</v>
      </c>
      <c r="G208" s="111" t="s">
        <v>130</v>
      </c>
      <c r="H208" s="70">
        <v>32192</v>
      </c>
      <c r="I208" s="70">
        <v>27233</v>
      </c>
      <c r="J208" s="70">
        <v>25310</v>
      </c>
      <c r="K208" s="70">
        <v>23392</v>
      </c>
      <c r="L208" s="70">
        <v>29515</v>
      </c>
      <c r="M208" s="70">
        <v>25543</v>
      </c>
      <c r="N208" s="70">
        <v>20835</v>
      </c>
      <c r="O208" s="112">
        <v>23282</v>
      </c>
      <c r="P208" s="112">
        <v>27548</v>
      </c>
      <c r="R208" s="111" t="s">
        <v>130</v>
      </c>
      <c r="S208" s="220">
        <v>8.3000000000000007</v>
      </c>
      <c r="T208" s="220">
        <v>11.4</v>
      </c>
      <c r="U208" s="220">
        <v>10.3</v>
      </c>
      <c r="V208" s="220">
        <v>10.4</v>
      </c>
      <c r="W208" s="220">
        <v>10.9</v>
      </c>
      <c r="X208" s="220">
        <v>11.6</v>
      </c>
      <c r="Y208" s="220">
        <v>12</v>
      </c>
      <c r="Z208" s="220">
        <v>11.9</v>
      </c>
      <c r="AA208" s="220">
        <v>10.4</v>
      </c>
      <c r="AC208" s="111" t="s">
        <v>130</v>
      </c>
      <c r="AD208" s="70">
        <f t="shared" si="196"/>
        <v>5343.8720000000003</v>
      </c>
      <c r="AE208" s="70">
        <f t="shared" si="177"/>
        <v>6209.1239999999998</v>
      </c>
      <c r="AF208" s="70">
        <f t="shared" si="178"/>
        <v>5213.8600000000006</v>
      </c>
      <c r="AG208" s="70">
        <f t="shared" si="179"/>
        <v>4865.5360000000001</v>
      </c>
      <c r="AH208" s="70">
        <f t="shared" si="180"/>
        <v>6434.27</v>
      </c>
      <c r="AI208" s="70">
        <f t="shared" si="181"/>
        <v>5925.9759999999997</v>
      </c>
      <c r="AJ208" s="70">
        <f t="shared" si="182"/>
        <v>5000.3999999999996</v>
      </c>
      <c r="AK208" s="70">
        <f t="shared" si="193"/>
        <v>5541.116</v>
      </c>
      <c r="AL208" s="70">
        <f t="shared" si="194"/>
        <v>5729.9840000000004</v>
      </c>
      <c r="AN208" s="111" t="s">
        <v>130</v>
      </c>
      <c r="AO208" s="113">
        <f t="shared" ref="AO208:AW208" si="208">H208/H205</f>
        <v>0.14828667898089759</v>
      </c>
      <c r="AP208" s="113">
        <f t="shared" si="208"/>
        <v>0.12990054616136804</v>
      </c>
      <c r="AQ208" s="113">
        <f t="shared" si="208"/>
        <v>0.12841588277674612</v>
      </c>
      <c r="AR208" s="113">
        <f t="shared" si="208"/>
        <v>0.12668428577617954</v>
      </c>
      <c r="AS208" s="113">
        <f t="shared" si="208"/>
        <v>0.16787723319663506</v>
      </c>
      <c r="AT208" s="113">
        <f t="shared" si="208"/>
        <v>0.15152575753980496</v>
      </c>
      <c r="AU208" s="113">
        <f t="shared" si="208"/>
        <v>0.12551734109269669</v>
      </c>
      <c r="AV208" s="113">
        <f t="shared" si="208"/>
        <v>0.1418388731845209</v>
      </c>
      <c r="AW208" s="113">
        <f t="shared" si="208"/>
        <v>0.16605283937817589</v>
      </c>
      <c r="AY208" s="111" t="s">
        <v>130</v>
      </c>
      <c r="AZ208" s="179">
        <f t="shared" si="184"/>
        <v>2.4615588710829001E-2</v>
      </c>
      <c r="BA208" s="179">
        <f t="shared" si="185"/>
        <v>2.9617324524791915E-2</v>
      </c>
      <c r="BB208" s="179">
        <f t="shared" si="186"/>
        <v>2.6453671852009704E-2</v>
      </c>
      <c r="BC208" s="179">
        <f t="shared" si="187"/>
        <v>2.6350331441445343E-2</v>
      </c>
      <c r="BD208" s="179">
        <f t="shared" si="188"/>
        <v>3.6597236836866442E-2</v>
      </c>
      <c r="BE208" s="179">
        <f t="shared" si="189"/>
        <v>3.5153975749234755E-2</v>
      </c>
      <c r="BF208" s="179">
        <f t="shared" si="190"/>
        <v>3.0124161862247204E-2</v>
      </c>
      <c r="BG208" s="179">
        <f t="shared" si="191"/>
        <v>3.3757651817915978E-2</v>
      </c>
      <c r="BH208" s="179">
        <f t="shared" si="192"/>
        <v>3.4538990590660588E-2</v>
      </c>
    </row>
    <row r="209" spans="2:68" s="108" customFormat="1" x14ac:dyDescent="0.25">
      <c r="B209" s="107"/>
      <c r="E209" s="109" t="s">
        <v>2</v>
      </c>
      <c r="F209" s="110" t="s">
        <v>61</v>
      </c>
      <c r="G209" s="111" t="s">
        <v>131</v>
      </c>
      <c r="H209" s="112">
        <v>56358</v>
      </c>
      <c r="I209" s="112">
        <v>54693</v>
      </c>
      <c r="J209" s="112">
        <v>56785</v>
      </c>
      <c r="K209" s="112">
        <v>55095</v>
      </c>
      <c r="L209" s="112">
        <v>60791</v>
      </c>
      <c r="M209" s="112">
        <v>59970</v>
      </c>
      <c r="N209" s="112">
        <v>53881</v>
      </c>
      <c r="O209" s="112">
        <v>67964</v>
      </c>
      <c r="P209" s="112">
        <v>66762</v>
      </c>
      <c r="R209" s="111" t="s">
        <v>131</v>
      </c>
      <c r="S209" s="220">
        <v>6.3</v>
      </c>
      <c r="T209" s="220">
        <v>7.6</v>
      </c>
      <c r="U209" s="220">
        <v>6.5</v>
      </c>
      <c r="V209" s="220">
        <v>5.7</v>
      </c>
      <c r="W209" s="220">
        <v>6.2</v>
      </c>
      <c r="X209" s="220">
        <v>6.6</v>
      </c>
      <c r="Y209" s="220">
        <v>6.4</v>
      </c>
      <c r="Z209" s="220">
        <v>5.5</v>
      </c>
      <c r="AA209" s="220">
        <v>5.4</v>
      </c>
      <c r="AC209" s="111" t="s">
        <v>131</v>
      </c>
      <c r="AD209" s="112">
        <f t="shared" si="196"/>
        <v>7101.1079999999993</v>
      </c>
      <c r="AE209" s="112">
        <f t="shared" si="177"/>
        <v>8313.3359999999993</v>
      </c>
      <c r="AF209" s="112">
        <f t="shared" si="178"/>
        <v>7382.05</v>
      </c>
      <c r="AG209" s="112">
        <f t="shared" si="179"/>
        <v>6280.83</v>
      </c>
      <c r="AH209" s="112">
        <f t="shared" si="180"/>
        <v>7538.0839999999998</v>
      </c>
      <c r="AI209" s="112">
        <f t="shared" si="181"/>
        <v>7916.04</v>
      </c>
      <c r="AJ209" s="112">
        <f t="shared" si="182"/>
        <v>6896.768</v>
      </c>
      <c r="AK209" s="112">
        <f t="shared" si="193"/>
        <v>7476.04</v>
      </c>
      <c r="AL209" s="112">
        <f t="shared" si="194"/>
        <v>7210.2960000000012</v>
      </c>
      <c r="AN209" s="111" t="s">
        <v>131</v>
      </c>
      <c r="AO209" s="113">
        <f t="shared" ref="AO209:AW209" si="209">H209/H205</f>
        <v>0.2596030272740254</v>
      </c>
      <c r="AP209" s="113">
        <f t="shared" si="209"/>
        <v>0.26088387512223044</v>
      </c>
      <c r="AQ209" s="113">
        <f t="shared" si="209"/>
        <v>0.28811125655778463</v>
      </c>
      <c r="AR209" s="113">
        <f t="shared" si="209"/>
        <v>0.298378536458559</v>
      </c>
      <c r="AS209" s="113">
        <f t="shared" si="209"/>
        <v>0.34577079055587473</v>
      </c>
      <c r="AT209" s="113">
        <f t="shared" si="209"/>
        <v>0.35575303134565645</v>
      </c>
      <c r="AU209" s="113">
        <f t="shared" si="209"/>
        <v>0.32459802521793085</v>
      </c>
      <c r="AV209" s="113">
        <f t="shared" si="209"/>
        <v>0.41405107710303146</v>
      </c>
      <c r="AW209" s="113">
        <f t="shared" si="209"/>
        <v>0.40242557218548636</v>
      </c>
      <c r="AY209" s="111" t="s">
        <v>131</v>
      </c>
      <c r="AZ209" s="179">
        <f t="shared" si="184"/>
        <v>3.2709981436527202E-2</v>
      </c>
      <c r="BA209" s="179">
        <f t="shared" si="185"/>
        <v>3.9654349018579026E-2</v>
      </c>
      <c r="BB209" s="179">
        <f t="shared" si="186"/>
        <v>3.7454463352512006E-2</v>
      </c>
      <c r="BC209" s="179">
        <f t="shared" si="187"/>
        <v>3.4015153156275728E-2</v>
      </c>
      <c r="BD209" s="179">
        <f t="shared" si="188"/>
        <v>4.2875578028928468E-2</v>
      </c>
      <c r="BE209" s="179">
        <f t="shared" si="189"/>
        <v>4.6959400137626651E-2</v>
      </c>
      <c r="BF209" s="179">
        <f t="shared" si="190"/>
        <v>4.1548547227895145E-2</v>
      </c>
      <c r="BG209" s="179">
        <f t="shared" si="191"/>
        <v>4.5545618481333462E-2</v>
      </c>
      <c r="BH209" s="179">
        <f t="shared" si="192"/>
        <v>4.3461961796032532E-2</v>
      </c>
    </row>
    <row r="210" spans="2:68" s="87" customFormat="1" x14ac:dyDescent="0.25">
      <c r="B210" s="84"/>
      <c r="C210" s="85"/>
      <c r="D210" s="85"/>
      <c r="E210" s="109" t="s">
        <v>3</v>
      </c>
      <c r="F210" s="110" t="s">
        <v>61</v>
      </c>
      <c r="G210" s="195" t="s">
        <v>7</v>
      </c>
      <c r="H210" s="69">
        <v>230666</v>
      </c>
      <c r="I210" s="69">
        <v>246145</v>
      </c>
      <c r="J210" s="69">
        <v>257365</v>
      </c>
      <c r="K210" s="69">
        <v>272307</v>
      </c>
      <c r="L210" s="69">
        <v>282584</v>
      </c>
      <c r="M210" s="69">
        <v>285551</v>
      </c>
      <c r="N210" s="69">
        <v>281774</v>
      </c>
      <c r="O210" s="69">
        <v>281638</v>
      </c>
      <c r="P210" s="69">
        <v>275204</v>
      </c>
      <c r="R210" s="195" t="s">
        <v>7</v>
      </c>
      <c r="S210" s="226">
        <v>2.9</v>
      </c>
      <c r="T210" s="226">
        <v>1.2</v>
      </c>
      <c r="U210" s="226">
        <v>0.9</v>
      </c>
      <c r="V210" s="226">
        <v>1</v>
      </c>
      <c r="W210" s="226">
        <v>1.3</v>
      </c>
      <c r="X210" s="226">
        <v>1.2</v>
      </c>
      <c r="Y210" s="226">
        <v>1</v>
      </c>
      <c r="Z210" s="226">
        <v>1.1000000000000001</v>
      </c>
      <c r="AA210" s="226">
        <v>1.1000000000000001</v>
      </c>
      <c r="AC210" s="195" t="s">
        <v>7</v>
      </c>
      <c r="AD210" s="69">
        <f t="shared" si="196"/>
        <v>13378.628000000001</v>
      </c>
      <c r="AE210" s="69">
        <f t="shared" si="177"/>
        <v>5907.48</v>
      </c>
      <c r="AF210" s="69">
        <f t="shared" si="178"/>
        <v>4632.57</v>
      </c>
      <c r="AG210" s="69">
        <f t="shared" si="179"/>
        <v>5446.14</v>
      </c>
      <c r="AH210" s="69">
        <f t="shared" si="180"/>
        <v>7347.1840000000002</v>
      </c>
      <c r="AI210" s="69">
        <f t="shared" si="181"/>
        <v>6853.2240000000002</v>
      </c>
      <c r="AJ210" s="69">
        <f t="shared" si="182"/>
        <v>5635.48</v>
      </c>
      <c r="AK210" s="69">
        <f t="shared" si="193"/>
        <v>6196.036000000001</v>
      </c>
      <c r="AL210" s="69">
        <f t="shared" si="194"/>
        <v>6054.4880000000003</v>
      </c>
      <c r="AN210" s="195" t="s">
        <v>7</v>
      </c>
      <c r="AO210" s="98">
        <f t="shared" ref="AO210:AW210" si="210">H210/H210</f>
        <v>1</v>
      </c>
      <c r="AP210" s="98">
        <f t="shared" si="210"/>
        <v>1</v>
      </c>
      <c r="AQ210" s="98">
        <f t="shared" si="210"/>
        <v>1</v>
      </c>
      <c r="AR210" s="98">
        <f t="shared" si="210"/>
        <v>1</v>
      </c>
      <c r="AS210" s="98">
        <f t="shared" si="210"/>
        <v>1</v>
      </c>
      <c r="AT210" s="98">
        <f t="shared" si="210"/>
        <v>1</v>
      </c>
      <c r="AU210" s="98">
        <f t="shared" si="210"/>
        <v>1</v>
      </c>
      <c r="AV210" s="98">
        <f t="shared" si="210"/>
        <v>1</v>
      </c>
      <c r="AW210" s="98">
        <f t="shared" si="210"/>
        <v>1</v>
      </c>
      <c r="AX210" s="191"/>
      <c r="AY210" s="195" t="s">
        <v>7</v>
      </c>
      <c r="AZ210" s="178">
        <f t="shared" si="184"/>
        <v>5.7999999999999996E-2</v>
      </c>
      <c r="BA210" s="178">
        <f t="shared" si="185"/>
        <v>2.4E-2</v>
      </c>
      <c r="BB210" s="178">
        <f t="shared" si="186"/>
        <v>1.8000000000000002E-2</v>
      </c>
      <c r="BC210" s="178">
        <f t="shared" si="187"/>
        <v>0.02</v>
      </c>
      <c r="BD210" s="178">
        <f t="shared" si="188"/>
        <v>2.6000000000000002E-2</v>
      </c>
      <c r="BE210" s="178">
        <f t="shared" si="189"/>
        <v>2.4E-2</v>
      </c>
      <c r="BF210" s="178">
        <f t="shared" si="190"/>
        <v>0.02</v>
      </c>
      <c r="BG210" s="178">
        <f t="shared" si="191"/>
        <v>2.2000000000000002E-2</v>
      </c>
      <c r="BH210" s="178">
        <f t="shared" si="192"/>
        <v>2.2000000000000002E-2</v>
      </c>
      <c r="BI210" s="191"/>
      <c r="BJ210" s="191"/>
      <c r="BK210" s="191"/>
      <c r="BL210" s="191"/>
      <c r="BM210" s="191"/>
      <c r="BN210" s="191"/>
      <c r="BO210" s="191"/>
      <c r="BP210" s="191"/>
    </row>
    <row r="211" spans="2:68" s="108" customFormat="1" x14ac:dyDescent="0.25">
      <c r="B211" s="107"/>
      <c r="E211" s="109" t="s">
        <v>3</v>
      </c>
      <c r="F211" s="110" t="s">
        <v>61</v>
      </c>
      <c r="G211" s="111" t="s">
        <v>54</v>
      </c>
      <c r="H211" s="112">
        <v>66641</v>
      </c>
      <c r="I211" s="112">
        <v>57851</v>
      </c>
      <c r="J211" s="112">
        <v>55795</v>
      </c>
      <c r="K211" s="112">
        <v>73509</v>
      </c>
      <c r="L211" s="112">
        <v>75285</v>
      </c>
      <c r="M211" s="112">
        <v>79668</v>
      </c>
      <c r="N211" s="112">
        <v>65600</v>
      </c>
      <c r="O211" s="112">
        <v>68901</v>
      </c>
      <c r="P211" s="112">
        <v>64589</v>
      </c>
      <c r="R211" s="111" t="s">
        <v>54</v>
      </c>
      <c r="S211" s="220">
        <v>5.3</v>
      </c>
      <c r="T211" s="220">
        <v>7.7</v>
      </c>
      <c r="U211" s="220">
        <v>6.5</v>
      </c>
      <c r="V211" s="220">
        <v>5.2</v>
      </c>
      <c r="W211" s="220">
        <v>5.9</v>
      </c>
      <c r="X211" s="220">
        <v>6.3</v>
      </c>
      <c r="Y211" s="220">
        <v>6.1</v>
      </c>
      <c r="Z211" s="220">
        <v>6.2</v>
      </c>
      <c r="AA211" s="220">
        <v>6.5</v>
      </c>
      <c r="AC211" s="111" t="s">
        <v>54</v>
      </c>
      <c r="AD211" s="112">
        <f t="shared" si="196"/>
        <v>7063.9459999999999</v>
      </c>
      <c r="AE211" s="112">
        <f t="shared" si="177"/>
        <v>8909.0540000000001</v>
      </c>
      <c r="AF211" s="112">
        <f t="shared" si="178"/>
        <v>7253.35</v>
      </c>
      <c r="AG211" s="112">
        <f t="shared" si="179"/>
        <v>7644.9359999999997</v>
      </c>
      <c r="AH211" s="112">
        <f t="shared" si="180"/>
        <v>8883.6299999999992</v>
      </c>
      <c r="AI211" s="112">
        <f t="shared" si="181"/>
        <v>10038.168</v>
      </c>
      <c r="AJ211" s="112">
        <f t="shared" si="182"/>
        <v>8003.2</v>
      </c>
      <c r="AK211" s="112">
        <f t="shared" si="193"/>
        <v>8543.7240000000002</v>
      </c>
      <c r="AL211" s="112">
        <f t="shared" si="194"/>
        <v>8396.57</v>
      </c>
      <c r="AN211" s="111" t="s">
        <v>54</v>
      </c>
      <c r="AO211" s="113">
        <f t="shared" ref="AO211:AW211" si="211">H211/H210</f>
        <v>0.28890690435521488</v>
      </c>
      <c r="AP211" s="113">
        <f t="shared" si="211"/>
        <v>0.23502813382355928</v>
      </c>
      <c r="AQ211" s="113">
        <f t="shared" si="211"/>
        <v>0.21679327025819362</v>
      </c>
      <c r="AR211" s="113">
        <f t="shared" si="211"/>
        <v>0.26994899139574086</v>
      </c>
      <c r="AS211" s="113">
        <f t="shared" si="211"/>
        <v>0.26641635761401922</v>
      </c>
      <c r="AT211" s="113">
        <f t="shared" si="211"/>
        <v>0.27899744704098395</v>
      </c>
      <c r="AU211" s="113">
        <f t="shared" si="211"/>
        <v>0.23281069225691511</v>
      </c>
      <c r="AV211" s="113">
        <f t="shared" si="211"/>
        <v>0.24464383357359448</v>
      </c>
      <c r="AW211" s="113">
        <f t="shared" si="211"/>
        <v>0.23469498989840265</v>
      </c>
      <c r="AY211" s="111" t="s">
        <v>54</v>
      </c>
      <c r="AZ211" s="179">
        <f t="shared" si="184"/>
        <v>3.0624131861652776E-2</v>
      </c>
      <c r="BA211" s="179">
        <f t="shared" si="185"/>
        <v>3.6194332608828129E-2</v>
      </c>
      <c r="BB211" s="179">
        <f t="shared" si="186"/>
        <v>2.8183125133565169E-2</v>
      </c>
      <c r="BC211" s="179">
        <f t="shared" si="187"/>
        <v>2.807469510515705E-2</v>
      </c>
      <c r="BD211" s="179">
        <f t="shared" si="188"/>
        <v>3.1437130198454268E-2</v>
      </c>
      <c r="BE211" s="179">
        <f t="shared" si="189"/>
        <v>3.5153678327163977E-2</v>
      </c>
      <c r="BF211" s="179">
        <f t="shared" si="190"/>
        <v>2.8402904455343641E-2</v>
      </c>
      <c r="BG211" s="179">
        <f t="shared" si="191"/>
        <v>3.0335835363125719E-2</v>
      </c>
      <c r="BH211" s="179">
        <f t="shared" si="192"/>
        <v>3.0510348686792345E-2</v>
      </c>
    </row>
    <row r="212" spans="2:68" s="108" customFormat="1" x14ac:dyDescent="0.25">
      <c r="B212" s="107"/>
      <c r="E212" s="109" t="s">
        <v>3</v>
      </c>
      <c r="F212" s="110" t="s">
        <v>61</v>
      </c>
      <c r="G212" s="111" t="s">
        <v>55</v>
      </c>
      <c r="H212" s="70">
        <v>90226</v>
      </c>
      <c r="I212" s="70">
        <v>100430</v>
      </c>
      <c r="J212" s="112">
        <v>105814</v>
      </c>
      <c r="K212" s="112">
        <v>103808</v>
      </c>
      <c r="L212" s="112">
        <v>109302</v>
      </c>
      <c r="M212" s="112">
        <v>103557</v>
      </c>
      <c r="N212" s="112">
        <v>107691</v>
      </c>
      <c r="O212" s="112">
        <v>97394</v>
      </c>
      <c r="P212" s="112">
        <v>93564</v>
      </c>
      <c r="R212" s="111" t="s">
        <v>55</v>
      </c>
      <c r="S212" s="81">
        <v>4.2</v>
      </c>
      <c r="T212" s="81">
        <v>4.7</v>
      </c>
      <c r="U212" s="81">
        <v>4.2</v>
      </c>
      <c r="V212" s="81">
        <v>4.2</v>
      </c>
      <c r="W212" s="81">
        <v>5.5</v>
      </c>
      <c r="X212" s="81">
        <v>5.8</v>
      </c>
      <c r="Y212" s="81">
        <v>5.4</v>
      </c>
      <c r="Z212" s="81">
        <v>4.8</v>
      </c>
      <c r="AA212" s="81">
        <v>4.8</v>
      </c>
      <c r="AC212" s="111" t="s">
        <v>55</v>
      </c>
      <c r="AD212" s="70">
        <f t="shared" si="196"/>
        <v>7578.9840000000004</v>
      </c>
      <c r="AE212" s="70">
        <f t="shared" si="177"/>
        <v>9440.42</v>
      </c>
      <c r="AF212" s="70">
        <f t="shared" si="178"/>
        <v>8888.3760000000002</v>
      </c>
      <c r="AG212" s="70">
        <f t="shared" si="179"/>
        <v>8719.8720000000012</v>
      </c>
      <c r="AH212" s="70">
        <f t="shared" si="180"/>
        <v>12023.22</v>
      </c>
      <c r="AI212" s="70">
        <f t="shared" si="181"/>
        <v>12012.611999999999</v>
      </c>
      <c r="AJ212" s="70">
        <f t="shared" si="182"/>
        <v>11630.628000000001</v>
      </c>
      <c r="AK212" s="70">
        <f t="shared" si="193"/>
        <v>9349.8240000000005</v>
      </c>
      <c r="AL212" s="70">
        <f t="shared" si="194"/>
        <v>8982.1440000000002</v>
      </c>
      <c r="AN212" s="111" t="s">
        <v>55</v>
      </c>
      <c r="AO212" s="113">
        <f t="shared" ref="AO212:AW212" si="212">H212/H210</f>
        <v>0.39115430969453668</v>
      </c>
      <c r="AP212" s="113">
        <f t="shared" si="212"/>
        <v>0.40801153791464378</v>
      </c>
      <c r="AQ212" s="113">
        <f t="shared" si="212"/>
        <v>0.41114370640918541</v>
      </c>
      <c r="AR212" s="113">
        <f t="shared" si="212"/>
        <v>0.38121678840426432</v>
      </c>
      <c r="AS212" s="113">
        <f t="shared" si="212"/>
        <v>0.38679472298502393</v>
      </c>
      <c r="AT212" s="113">
        <f t="shared" si="212"/>
        <v>0.36265675833738981</v>
      </c>
      <c r="AU212" s="113">
        <f t="shared" si="212"/>
        <v>0.38218927225365007</v>
      </c>
      <c r="AV212" s="113">
        <f t="shared" si="212"/>
        <v>0.34581270993260854</v>
      </c>
      <c r="AW212" s="113">
        <f t="shared" si="212"/>
        <v>0.33998052353890207</v>
      </c>
      <c r="AY212" s="111" t="s">
        <v>55</v>
      </c>
      <c r="AZ212" s="179">
        <f t="shared" si="184"/>
        <v>3.285696201434108E-2</v>
      </c>
      <c r="BA212" s="179">
        <f t="shared" si="185"/>
        <v>3.8353084563976514E-2</v>
      </c>
      <c r="BB212" s="179">
        <f t="shared" si="186"/>
        <v>3.4536071338371575E-2</v>
      </c>
      <c r="BC212" s="179">
        <f t="shared" si="187"/>
        <v>3.2022210225958206E-2</v>
      </c>
      <c r="BD212" s="179">
        <f t="shared" si="188"/>
        <v>4.2547419528352635E-2</v>
      </c>
      <c r="BE212" s="179">
        <f t="shared" si="189"/>
        <v>4.2068183967137213E-2</v>
      </c>
      <c r="BF212" s="179">
        <f t="shared" si="190"/>
        <v>4.1276441403394211E-2</v>
      </c>
      <c r="BG212" s="179">
        <f t="shared" si="191"/>
        <v>3.3198020153530419E-2</v>
      </c>
      <c r="BH212" s="179">
        <f t="shared" si="192"/>
        <v>3.2638130259734596E-2</v>
      </c>
    </row>
    <row r="213" spans="2:68" s="108" customFormat="1" x14ac:dyDescent="0.25">
      <c r="B213" s="107"/>
      <c r="E213" s="109" t="s">
        <v>3</v>
      </c>
      <c r="F213" s="110" t="s">
        <v>61</v>
      </c>
      <c r="G213" s="111" t="s">
        <v>130</v>
      </c>
      <c r="H213" s="70">
        <v>20621</v>
      </c>
      <c r="I213" s="70">
        <v>27729</v>
      </c>
      <c r="J213" s="70">
        <v>26054</v>
      </c>
      <c r="K213" s="70">
        <v>32802</v>
      </c>
      <c r="L213" s="70">
        <v>30504</v>
      </c>
      <c r="M213" s="70">
        <v>33540</v>
      </c>
      <c r="N213" s="70">
        <v>33527</v>
      </c>
      <c r="O213" s="112">
        <v>33472</v>
      </c>
      <c r="P213" s="112">
        <v>32750</v>
      </c>
      <c r="R213" s="111" t="s">
        <v>130</v>
      </c>
      <c r="S213" s="220">
        <v>10.7</v>
      </c>
      <c r="T213" s="220">
        <v>11.4</v>
      </c>
      <c r="U213" s="220">
        <v>10.3</v>
      </c>
      <c r="V213" s="220">
        <v>9.1</v>
      </c>
      <c r="W213" s="220">
        <v>10</v>
      </c>
      <c r="X213" s="220">
        <v>10.1</v>
      </c>
      <c r="Y213" s="220">
        <v>9.9</v>
      </c>
      <c r="Z213" s="220">
        <v>8.8000000000000007</v>
      </c>
      <c r="AA213" s="220">
        <v>9.6999999999999993</v>
      </c>
      <c r="AC213" s="111" t="s">
        <v>130</v>
      </c>
      <c r="AD213" s="70">
        <f t="shared" si="196"/>
        <v>4412.8939999999993</v>
      </c>
      <c r="AE213" s="70">
        <f t="shared" si="177"/>
        <v>6322.2120000000004</v>
      </c>
      <c r="AF213" s="70">
        <f t="shared" si="178"/>
        <v>5367.1239999999998</v>
      </c>
      <c r="AG213" s="70">
        <f t="shared" si="179"/>
        <v>5969.9639999999999</v>
      </c>
      <c r="AH213" s="70">
        <f t="shared" si="180"/>
        <v>6100.8</v>
      </c>
      <c r="AI213" s="70">
        <f t="shared" si="181"/>
        <v>6775.08</v>
      </c>
      <c r="AJ213" s="70">
        <f t="shared" si="182"/>
        <v>6638.3459999999995</v>
      </c>
      <c r="AK213" s="70">
        <f t="shared" si="193"/>
        <v>5891.072000000001</v>
      </c>
      <c r="AL213" s="70">
        <f t="shared" si="194"/>
        <v>6353.5</v>
      </c>
      <c r="AN213" s="111" t="s">
        <v>130</v>
      </c>
      <c r="AO213" s="113">
        <f t="shared" ref="AO213:AW213" si="213">H213/H210</f>
        <v>8.9397657218662482E-2</v>
      </c>
      <c r="AP213" s="113">
        <f t="shared" si="213"/>
        <v>0.11265311097117553</v>
      </c>
      <c r="AQ213" s="113">
        <f t="shared" si="213"/>
        <v>0.10123365648009636</v>
      </c>
      <c r="AR213" s="113">
        <f t="shared" si="213"/>
        <v>0.12045962828719056</v>
      </c>
      <c r="AS213" s="113">
        <f t="shared" si="213"/>
        <v>0.1079466636469156</v>
      </c>
      <c r="AT213" s="113">
        <f t="shared" si="213"/>
        <v>0.11745712674793644</v>
      </c>
      <c r="AU213" s="113">
        <f t="shared" si="213"/>
        <v>0.11898542803807306</v>
      </c>
      <c r="AV213" s="113">
        <f t="shared" si="213"/>
        <v>0.11884759869051761</v>
      </c>
      <c r="AW213" s="113">
        <f t="shared" si="213"/>
        <v>0.11900263077571548</v>
      </c>
      <c r="AY213" s="111" t="s">
        <v>130</v>
      </c>
      <c r="AZ213" s="179">
        <f t="shared" si="184"/>
        <v>1.913109864479377E-2</v>
      </c>
      <c r="BA213" s="179">
        <f t="shared" si="185"/>
        <v>2.568490930142802E-2</v>
      </c>
      <c r="BB213" s="179">
        <f t="shared" si="186"/>
        <v>2.085413323489985E-2</v>
      </c>
      <c r="BC213" s="179">
        <f t="shared" si="187"/>
        <v>2.1923652348268683E-2</v>
      </c>
      <c r="BD213" s="179">
        <f t="shared" si="188"/>
        <v>2.1589332729383123E-2</v>
      </c>
      <c r="BE213" s="179">
        <f t="shared" si="189"/>
        <v>2.3726339603083159E-2</v>
      </c>
      <c r="BF213" s="179">
        <f t="shared" si="190"/>
        <v>2.3559114751538469E-2</v>
      </c>
      <c r="BG213" s="179">
        <f t="shared" si="191"/>
        <v>2.0917177369531102E-2</v>
      </c>
      <c r="BH213" s="179">
        <f t="shared" si="192"/>
        <v>2.30865103704888E-2</v>
      </c>
    </row>
    <row r="214" spans="2:68" s="108" customFormat="1" x14ac:dyDescent="0.25">
      <c r="B214" s="107"/>
      <c r="E214" s="109" t="s">
        <v>3</v>
      </c>
      <c r="F214" s="110" t="s">
        <v>61</v>
      </c>
      <c r="G214" s="111" t="s">
        <v>131</v>
      </c>
      <c r="H214" s="112">
        <v>53178</v>
      </c>
      <c r="I214" s="112">
        <v>60135</v>
      </c>
      <c r="J214" s="112">
        <v>69703</v>
      </c>
      <c r="K214" s="112">
        <v>62011</v>
      </c>
      <c r="L214" s="112">
        <v>67493</v>
      </c>
      <c r="M214" s="112">
        <v>68786</v>
      </c>
      <c r="N214" s="112">
        <v>74956</v>
      </c>
      <c r="O214" s="112">
        <v>81871</v>
      </c>
      <c r="P214" s="112">
        <v>84301</v>
      </c>
      <c r="R214" s="111" t="s">
        <v>131</v>
      </c>
      <c r="S214" s="220">
        <v>6.6</v>
      </c>
      <c r="T214" s="220">
        <v>6.9</v>
      </c>
      <c r="U214" s="220">
        <v>6</v>
      </c>
      <c r="V214" s="220">
        <v>6</v>
      </c>
      <c r="W214" s="220">
        <v>6.6</v>
      </c>
      <c r="X214" s="220">
        <v>6.5</v>
      </c>
      <c r="Y214" s="220">
        <v>6.1</v>
      </c>
      <c r="Z214" s="220">
        <v>5.6</v>
      </c>
      <c r="AA214" s="220">
        <v>4.5999999999999996</v>
      </c>
      <c r="AC214" s="111" t="s">
        <v>131</v>
      </c>
      <c r="AD214" s="112">
        <f t="shared" si="196"/>
        <v>7019.4960000000001</v>
      </c>
      <c r="AE214" s="112">
        <f t="shared" si="177"/>
        <v>8298.6299999999992</v>
      </c>
      <c r="AF214" s="112">
        <f t="shared" si="178"/>
        <v>8364.36</v>
      </c>
      <c r="AG214" s="112">
        <f t="shared" si="179"/>
        <v>7441.32</v>
      </c>
      <c r="AH214" s="112">
        <f t="shared" si="180"/>
        <v>8909.0759999999991</v>
      </c>
      <c r="AI214" s="112">
        <f t="shared" si="181"/>
        <v>8942.18</v>
      </c>
      <c r="AJ214" s="112">
        <f t="shared" si="182"/>
        <v>9144.6319999999996</v>
      </c>
      <c r="AK214" s="112">
        <f t="shared" si="193"/>
        <v>9169.5519999999997</v>
      </c>
      <c r="AL214" s="112">
        <f t="shared" si="194"/>
        <v>7755.6919999999991</v>
      </c>
      <c r="AN214" s="111" t="s">
        <v>131</v>
      </c>
      <c r="AO214" s="113">
        <f t="shared" ref="AO214:AW214" si="214">H214/H210</f>
        <v>0.23054112873158594</v>
      </c>
      <c r="AP214" s="113">
        <f t="shared" si="214"/>
        <v>0.24430721729062138</v>
      </c>
      <c r="AQ214" s="113">
        <f t="shared" si="214"/>
        <v>0.27083325238474543</v>
      </c>
      <c r="AR214" s="113">
        <f t="shared" si="214"/>
        <v>0.22772459026025774</v>
      </c>
      <c r="AS214" s="113">
        <f t="shared" si="214"/>
        <v>0.23884225575404128</v>
      </c>
      <c r="AT214" s="113">
        <f t="shared" si="214"/>
        <v>0.24088866787368982</v>
      </c>
      <c r="AU214" s="113">
        <f t="shared" si="214"/>
        <v>0.26601460745136174</v>
      </c>
      <c r="AV214" s="113">
        <f t="shared" si="214"/>
        <v>0.29069585780327939</v>
      </c>
      <c r="AW214" s="113">
        <f t="shared" si="214"/>
        <v>0.30632185578697985</v>
      </c>
      <c r="AY214" s="111" t="s">
        <v>131</v>
      </c>
      <c r="AZ214" s="179">
        <f t="shared" si="184"/>
        <v>3.0431428992569343E-2</v>
      </c>
      <c r="BA214" s="179">
        <f t="shared" si="185"/>
        <v>3.3714395986105754E-2</v>
      </c>
      <c r="BB214" s="179">
        <f t="shared" si="186"/>
        <v>3.2499990286169449E-2</v>
      </c>
      <c r="BC214" s="179">
        <f t="shared" si="187"/>
        <v>2.732695083123093E-2</v>
      </c>
      <c r="BD214" s="179">
        <f t="shared" si="188"/>
        <v>3.1527177759533447E-2</v>
      </c>
      <c r="BE214" s="179">
        <f t="shared" si="189"/>
        <v>3.1315526823579673E-2</v>
      </c>
      <c r="BF214" s="179">
        <f t="shared" si="190"/>
        <v>3.2453782109066132E-2</v>
      </c>
      <c r="BG214" s="179">
        <f t="shared" si="191"/>
        <v>3.2557936073967293E-2</v>
      </c>
      <c r="BH214" s="179">
        <f t="shared" si="192"/>
        <v>2.8181610732402142E-2</v>
      </c>
    </row>
    <row r="215" spans="2:68" s="87" customFormat="1" x14ac:dyDescent="0.25">
      <c r="B215" s="84"/>
      <c r="C215" s="85"/>
      <c r="D215" s="85"/>
      <c r="E215" s="109" t="s">
        <v>45</v>
      </c>
      <c r="F215" s="110" t="s">
        <v>61</v>
      </c>
      <c r="G215" s="195" t="s">
        <v>7</v>
      </c>
      <c r="H215" s="69">
        <v>117581</v>
      </c>
      <c r="I215" s="69">
        <v>120146</v>
      </c>
      <c r="J215" s="69">
        <v>125165</v>
      </c>
      <c r="K215" s="69">
        <v>132071</v>
      </c>
      <c r="L215" s="69">
        <v>139700</v>
      </c>
      <c r="M215" s="69">
        <v>150867</v>
      </c>
      <c r="N215" s="69">
        <v>161658</v>
      </c>
      <c r="O215" s="69">
        <v>172501</v>
      </c>
      <c r="P215" s="69">
        <v>182364</v>
      </c>
      <c r="R215" s="195" t="s">
        <v>7</v>
      </c>
      <c r="S215" s="226">
        <v>1.4</v>
      </c>
      <c r="T215" s="226">
        <v>1.7</v>
      </c>
      <c r="U215" s="226">
        <v>1.5</v>
      </c>
      <c r="V215" s="226">
        <v>1.7</v>
      </c>
      <c r="W215" s="226">
        <v>1.7</v>
      </c>
      <c r="X215" s="226">
        <v>1.6</v>
      </c>
      <c r="Y215" s="226">
        <v>1.3</v>
      </c>
      <c r="Z215" s="226">
        <v>1.8</v>
      </c>
      <c r="AA215" s="226">
        <v>1.5</v>
      </c>
      <c r="AC215" s="195" t="s">
        <v>7</v>
      </c>
      <c r="AD215" s="69">
        <f t="shared" si="196"/>
        <v>3292.268</v>
      </c>
      <c r="AE215" s="69">
        <f t="shared" si="177"/>
        <v>4084.9639999999995</v>
      </c>
      <c r="AF215" s="69">
        <f t="shared" si="178"/>
        <v>3754.95</v>
      </c>
      <c r="AG215" s="69">
        <f t="shared" si="179"/>
        <v>4490.4139999999998</v>
      </c>
      <c r="AH215" s="69">
        <f t="shared" si="180"/>
        <v>4749.8</v>
      </c>
      <c r="AI215" s="69">
        <f t="shared" si="181"/>
        <v>4827.7440000000006</v>
      </c>
      <c r="AJ215" s="69">
        <f t="shared" si="182"/>
        <v>4203.1080000000002</v>
      </c>
      <c r="AK215" s="69">
        <f t="shared" si="193"/>
        <v>6210.0360000000001</v>
      </c>
      <c r="AL215" s="69">
        <f t="shared" si="194"/>
        <v>5470.92</v>
      </c>
      <c r="AN215" s="195" t="s">
        <v>7</v>
      </c>
      <c r="AO215" s="98">
        <f t="shared" ref="AO215:AW215" si="215">H215/H215</f>
        <v>1</v>
      </c>
      <c r="AP215" s="98">
        <f t="shared" si="215"/>
        <v>1</v>
      </c>
      <c r="AQ215" s="98">
        <f t="shared" si="215"/>
        <v>1</v>
      </c>
      <c r="AR215" s="98">
        <f t="shared" si="215"/>
        <v>1</v>
      </c>
      <c r="AS215" s="98">
        <f t="shared" si="215"/>
        <v>1</v>
      </c>
      <c r="AT215" s="98">
        <f t="shared" si="215"/>
        <v>1</v>
      </c>
      <c r="AU215" s="98">
        <f t="shared" si="215"/>
        <v>1</v>
      </c>
      <c r="AV215" s="98">
        <f t="shared" si="215"/>
        <v>1</v>
      </c>
      <c r="AW215" s="98">
        <f t="shared" si="215"/>
        <v>1</v>
      </c>
      <c r="AX215" s="191"/>
      <c r="AY215" s="195" t="s">
        <v>7</v>
      </c>
      <c r="AZ215" s="178">
        <f t="shared" si="184"/>
        <v>2.7999999999999997E-2</v>
      </c>
      <c r="BA215" s="178">
        <f t="shared" si="185"/>
        <v>3.4000000000000002E-2</v>
      </c>
      <c r="BB215" s="178">
        <f t="shared" si="186"/>
        <v>0.03</v>
      </c>
      <c r="BC215" s="178">
        <f t="shared" si="187"/>
        <v>3.4000000000000002E-2</v>
      </c>
      <c r="BD215" s="178">
        <f t="shared" si="188"/>
        <v>3.4000000000000002E-2</v>
      </c>
      <c r="BE215" s="178">
        <f t="shared" si="189"/>
        <v>3.2000000000000001E-2</v>
      </c>
      <c r="BF215" s="178">
        <f t="shared" si="190"/>
        <v>2.6000000000000002E-2</v>
      </c>
      <c r="BG215" s="178">
        <f t="shared" si="191"/>
        <v>3.6000000000000004E-2</v>
      </c>
      <c r="BH215" s="178">
        <f t="shared" si="192"/>
        <v>0.03</v>
      </c>
      <c r="BI215" s="191"/>
      <c r="BJ215" s="191"/>
      <c r="BK215" s="191"/>
      <c r="BL215" s="191"/>
      <c r="BM215" s="191"/>
      <c r="BN215" s="191"/>
      <c r="BO215" s="191"/>
      <c r="BP215" s="191"/>
    </row>
    <row r="216" spans="2:68" s="108" customFormat="1" x14ac:dyDescent="0.25">
      <c r="B216" s="107"/>
      <c r="E216" s="109" t="s">
        <v>45</v>
      </c>
      <c r="F216" s="110" t="s">
        <v>61</v>
      </c>
      <c r="G216" s="111" t="s">
        <v>54</v>
      </c>
      <c r="H216" s="112">
        <v>16823</v>
      </c>
      <c r="I216" s="112">
        <v>10865</v>
      </c>
      <c r="J216" s="112">
        <v>15297</v>
      </c>
      <c r="K216" s="112">
        <v>14872</v>
      </c>
      <c r="L216" s="112">
        <v>18955</v>
      </c>
      <c r="M216" s="112">
        <v>16555</v>
      </c>
      <c r="N216" s="112">
        <v>16836</v>
      </c>
      <c r="O216" s="112">
        <v>18959</v>
      </c>
      <c r="P216" s="112">
        <v>18352</v>
      </c>
      <c r="R216" s="111" t="s">
        <v>54</v>
      </c>
      <c r="S216" s="220">
        <v>11.7</v>
      </c>
      <c r="T216" s="220">
        <v>18.5</v>
      </c>
      <c r="U216" s="220">
        <v>13.3</v>
      </c>
      <c r="V216" s="220">
        <v>13.3</v>
      </c>
      <c r="W216" s="220">
        <v>13.2</v>
      </c>
      <c r="X216" s="220">
        <v>15</v>
      </c>
      <c r="Y216" s="220">
        <v>13.5</v>
      </c>
      <c r="Z216" s="220">
        <v>12.9</v>
      </c>
      <c r="AA216" s="220">
        <v>12.6</v>
      </c>
      <c r="AC216" s="111" t="s">
        <v>54</v>
      </c>
      <c r="AD216" s="112">
        <f t="shared" si="196"/>
        <v>3936.5819999999994</v>
      </c>
      <c r="AE216" s="112">
        <f t="shared" si="177"/>
        <v>4020.05</v>
      </c>
      <c r="AF216" s="112">
        <f t="shared" si="178"/>
        <v>4069.002</v>
      </c>
      <c r="AG216" s="112">
        <f t="shared" si="179"/>
        <v>3955.9520000000002</v>
      </c>
      <c r="AH216" s="112">
        <f t="shared" si="180"/>
        <v>5004.12</v>
      </c>
      <c r="AI216" s="112">
        <f t="shared" si="181"/>
        <v>4966.5</v>
      </c>
      <c r="AJ216" s="112">
        <f t="shared" si="182"/>
        <v>4545.72</v>
      </c>
      <c r="AK216" s="112">
        <f t="shared" si="193"/>
        <v>4891.4220000000005</v>
      </c>
      <c r="AL216" s="112">
        <f t="shared" si="194"/>
        <v>4624.7039999999997</v>
      </c>
      <c r="AN216" s="111" t="s">
        <v>54</v>
      </c>
      <c r="AO216" s="113">
        <f t="shared" ref="AO216:AW216" si="216">H216/H215</f>
        <v>0.14307583708252183</v>
      </c>
      <c r="AP216" s="113">
        <f t="shared" si="216"/>
        <v>9.0431641502838209E-2</v>
      </c>
      <c r="AQ216" s="113">
        <f t="shared" si="216"/>
        <v>0.12221467662685255</v>
      </c>
      <c r="AR216" s="113">
        <f t="shared" si="216"/>
        <v>0.11260609823504024</v>
      </c>
      <c r="AS216" s="113">
        <f t="shared" si="216"/>
        <v>0.13568360773085184</v>
      </c>
      <c r="AT216" s="113">
        <f t="shared" si="216"/>
        <v>0.10973241331769042</v>
      </c>
      <c r="AU216" s="113">
        <f t="shared" si="216"/>
        <v>0.10414578925880563</v>
      </c>
      <c r="AV216" s="113">
        <f t="shared" si="216"/>
        <v>0.1099066092370479</v>
      </c>
      <c r="AW216" s="113">
        <f t="shared" si="216"/>
        <v>0.10063389704108266</v>
      </c>
      <c r="AY216" s="111" t="s">
        <v>54</v>
      </c>
      <c r="AZ216" s="179">
        <f t="shared" si="184"/>
        <v>3.3479745877310105E-2</v>
      </c>
      <c r="BA216" s="179">
        <f t="shared" si="185"/>
        <v>3.3459707356050139E-2</v>
      </c>
      <c r="BB216" s="179">
        <f t="shared" si="186"/>
        <v>3.2509103982742781E-2</v>
      </c>
      <c r="BC216" s="179">
        <f t="shared" si="187"/>
        <v>2.9953222130520703E-2</v>
      </c>
      <c r="BD216" s="179">
        <f t="shared" si="188"/>
        <v>3.5820472440944884E-2</v>
      </c>
      <c r="BE216" s="179">
        <f t="shared" si="189"/>
        <v>3.2919723995307126E-2</v>
      </c>
      <c r="BF216" s="179">
        <f t="shared" si="190"/>
        <v>2.8119363099877521E-2</v>
      </c>
      <c r="BG216" s="179">
        <f t="shared" si="191"/>
        <v>2.8355905183158357E-2</v>
      </c>
      <c r="BH216" s="179">
        <f t="shared" si="192"/>
        <v>2.5359742054352829E-2</v>
      </c>
    </row>
    <row r="217" spans="2:68" s="108" customFormat="1" x14ac:dyDescent="0.25">
      <c r="B217" s="107"/>
      <c r="E217" s="109" t="s">
        <v>45</v>
      </c>
      <c r="F217" s="110" t="s">
        <v>61</v>
      </c>
      <c r="G217" s="111" t="s">
        <v>55</v>
      </c>
      <c r="H217" s="70">
        <v>50387</v>
      </c>
      <c r="I217" s="70">
        <v>58941</v>
      </c>
      <c r="J217" s="70">
        <v>62493</v>
      </c>
      <c r="K217" s="70">
        <v>60466</v>
      </c>
      <c r="L217" s="70">
        <v>68710</v>
      </c>
      <c r="M217" s="70">
        <v>74051</v>
      </c>
      <c r="N217" s="70">
        <v>77108</v>
      </c>
      <c r="O217" s="112">
        <v>80667</v>
      </c>
      <c r="P217" s="112">
        <v>89936</v>
      </c>
      <c r="R217" s="111" t="s">
        <v>55</v>
      </c>
      <c r="S217" s="81">
        <v>5.4</v>
      </c>
      <c r="T217" s="81">
        <v>6.3</v>
      </c>
      <c r="U217" s="81">
        <v>5.4</v>
      </c>
      <c r="V217" s="81">
        <v>5</v>
      </c>
      <c r="W217" s="81">
        <v>5.7</v>
      </c>
      <c r="X217" s="81">
        <v>5.8</v>
      </c>
      <c r="Y217" s="81">
        <v>4.9000000000000004</v>
      </c>
      <c r="Z217" s="81">
        <v>5</v>
      </c>
      <c r="AA217" s="81">
        <v>4.5999999999999996</v>
      </c>
      <c r="AC217" s="111" t="s">
        <v>55</v>
      </c>
      <c r="AD217" s="70">
        <f t="shared" si="196"/>
        <v>5441.7960000000012</v>
      </c>
      <c r="AE217" s="70">
        <f t="shared" si="177"/>
        <v>7426.5659999999998</v>
      </c>
      <c r="AF217" s="70">
        <f t="shared" si="178"/>
        <v>6749.2440000000006</v>
      </c>
      <c r="AG217" s="70">
        <f t="shared" si="179"/>
        <v>6046.6</v>
      </c>
      <c r="AH217" s="70">
        <f t="shared" si="180"/>
        <v>7832.94</v>
      </c>
      <c r="AI217" s="70">
        <f t="shared" si="181"/>
        <v>8589.9159999999993</v>
      </c>
      <c r="AJ217" s="70">
        <f t="shared" si="182"/>
        <v>7556.5839999999998</v>
      </c>
      <c r="AK217" s="70">
        <f t="shared" si="193"/>
        <v>8066.7</v>
      </c>
      <c r="AL217" s="70">
        <f t="shared" si="194"/>
        <v>8274.1119999999992</v>
      </c>
      <c r="AN217" s="111" t="s">
        <v>55</v>
      </c>
      <c r="AO217" s="113">
        <f t="shared" ref="AO217:AW217" si="217">H217/H215</f>
        <v>0.42853011966219035</v>
      </c>
      <c r="AP217" s="113">
        <f t="shared" si="217"/>
        <v>0.49057812994190403</v>
      </c>
      <c r="AQ217" s="113">
        <f t="shared" si="217"/>
        <v>0.49928494387408623</v>
      </c>
      <c r="AR217" s="113">
        <f t="shared" si="217"/>
        <v>0.45782950079881274</v>
      </c>
      <c r="AS217" s="113">
        <f t="shared" si="217"/>
        <v>0.49183965640658556</v>
      </c>
      <c r="AT217" s="113">
        <f t="shared" si="217"/>
        <v>0.49083629952209562</v>
      </c>
      <c r="AU217" s="113">
        <f t="shared" si="217"/>
        <v>0.47698227121453934</v>
      </c>
      <c r="AV217" s="113">
        <f t="shared" si="217"/>
        <v>0.46763207169813509</v>
      </c>
      <c r="AW217" s="113">
        <f t="shared" si="217"/>
        <v>0.49316751113158297</v>
      </c>
      <c r="AY217" s="111" t="s">
        <v>55</v>
      </c>
      <c r="AZ217" s="179">
        <f t="shared" si="184"/>
        <v>4.6281252923516557E-2</v>
      </c>
      <c r="BA217" s="179">
        <f t="shared" si="185"/>
        <v>6.1812844372679907E-2</v>
      </c>
      <c r="BB217" s="179">
        <f t="shared" si="186"/>
        <v>5.3922773938401322E-2</v>
      </c>
      <c r="BC217" s="179">
        <f t="shared" si="187"/>
        <v>4.5782950079881271E-2</v>
      </c>
      <c r="BD217" s="179">
        <f t="shared" si="188"/>
        <v>5.6069720830350757E-2</v>
      </c>
      <c r="BE217" s="179">
        <f t="shared" si="189"/>
        <v>5.6937010744563095E-2</v>
      </c>
      <c r="BF217" s="179">
        <f t="shared" si="190"/>
        <v>4.6744262579024858E-2</v>
      </c>
      <c r="BG217" s="179">
        <f t="shared" si="191"/>
        <v>4.6763207169813512E-2</v>
      </c>
      <c r="BH217" s="179">
        <f t="shared" si="192"/>
        <v>4.5371411024105628E-2</v>
      </c>
    </row>
    <row r="218" spans="2:68" s="108" customFormat="1" x14ac:dyDescent="0.25">
      <c r="B218" s="107"/>
      <c r="E218" s="109" t="s">
        <v>45</v>
      </c>
      <c r="F218" s="110" t="s">
        <v>61</v>
      </c>
      <c r="G218" s="111" t="s">
        <v>130</v>
      </c>
      <c r="H218" s="70">
        <v>8482</v>
      </c>
      <c r="I218" s="70">
        <v>13535</v>
      </c>
      <c r="J218" s="70">
        <v>10145</v>
      </c>
      <c r="K218" s="70">
        <v>15662</v>
      </c>
      <c r="L218" s="70">
        <v>12637</v>
      </c>
      <c r="M218" s="70">
        <v>17917</v>
      </c>
      <c r="N218" s="70">
        <v>18479</v>
      </c>
      <c r="O218" s="112">
        <v>21916</v>
      </c>
      <c r="P218" s="112">
        <v>18885</v>
      </c>
      <c r="R218" s="111" t="s">
        <v>130</v>
      </c>
      <c r="S218" s="220">
        <v>16.899999999999999</v>
      </c>
      <c r="T218" s="220">
        <v>15.8</v>
      </c>
      <c r="U218" s="220">
        <v>16.7</v>
      </c>
      <c r="V218" s="220">
        <v>12.8</v>
      </c>
      <c r="W218" s="220">
        <v>16.7</v>
      </c>
      <c r="X218" s="220">
        <v>14.5</v>
      </c>
      <c r="Y218" s="220">
        <v>12.8</v>
      </c>
      <c r="Z218" s="220">
        <v>11.9</v>
      </c>
      <c r="AA218" s="220">
        <v>12.6</v>
      </c>
      <c r="AC218" s="111" t="s">
        <v>130</v>
      </c>
      <c r="AD218" s="70">
        <f t="shared" si="196"/>
        <v>2866.9159999999997</v>
      </c>
      <c r="AE218" s="70">
        <f t="shared" si="177"/>
        <v>4277.0600000000004</v>
      </c>
      <c r="AF218" s="70">
        <f t="shared" si="178"/>
        <v>3388.43</v>
      </c>
      <c r="AG218" s="70">
        <f t="shared" si="179"/>
        <v>4009.4720000000002</v>
      </c>
      <c r="AH218" s="70">
        <f t="shared" si="180"/>
        <v>4220.7579999999998</v>
      </c>
      <c r="AI218" s="70">
        <f t="shared" si="181"/>
        <v>5195.93</v>
      </c>
      <c r="AJ218" s="70">
        <f t="shared" si="182"/>
        <v>4730.6239999999998</v>
      </c>
      <c r="AK218" s="70">
        <f t="shared" si="193"/>
        <v>5216.0079999999998</v>
      </c>
      <c r="AL218" s="70">
        <f t="shared" si="194"/>
        <v>4759.0200000000004</v>
      </c>
      <c r="AN218" s="111" t="s">
        <v>130</v>
      </c>
      <c r="AO218" s="113">
        <f t="shared" ref="AO218:AW218" si="218">H218/H215</f>
        <v>7.2137505209174946E-2</v>
      </c>
      <c r="AP218" s="113">
        <f t="shared" si="218"/>
        <v>0.11265460356566177</v>
      </c>
      <c r="AQ218" s="113">
        <f t="shared" si="218"/>
        <v>8.1053010026764669E-2</v>
      </c>
      <c r="AR218" s="113">
        <f t="shared" si="218"/>
        <v>0.11858772932740723</v>
      </c>
      <c r="AS218" s="113">
        <f t="shared" si="218"/>
        <v>9.0458124552612748E-2</v>
      </c>
      <c r="AT218" s="113">
        <f t="shared" si="218"/>
        <v>0.11876023252268554</v>
      </c>
      <c r="AU218" s="113">
        <f t="shared" si="218"/>
        <v>0.11430922070049115</v>
      </c>
      <c r="AV218" s="113">
        <f t="shared" si="218"/>
        <v>0.12704853884905015</v>
      </c>
      <c r="AW218" s="113">
        <f t="shared" si="218"/>
        <v>0.10355662301770086</v>
      </c>
      <c r="AY218" s="111" t="s">
        <v>130</v>
      </c>
      <c r="AZ218" s="179">
        <f t="shared" si="184"/>
        <v>2.4382476760701127E-2</v>
      </c>
      <c r="BA218" s="179">
        <f t="shared" si="185"/>
        <v>3.5598854726749118E-2</v>
      </c>
      <c r="BB218" s="179">
        <f t="shared" si="186"/>
        <v>2.70717053489394E-2</v>
      </c>
      <c r="BC218" s="179">
        <f t="shared" si="187"/>
        <v>3.0358458707816251E-2</v>
      </c>
      <c r="BD218" s="179">
        <f t="shared" si="188"/>
        <v>3.0213013600572654E-2</v>
      </c>
      <c r="BE218" s="179">
        <f t="shared" si="189"/>
        <v>3.444046743157881E-2</v>
      </c>
      <c r="BF218" s="179">
        <f t="shared" si="190"/>
        <v>2.9263160499325737E-2</v>
      </c>
      <c r="BG218" s="179">
        <f t="shared" si="191"/>
        <v>3.0237552246073936E-2</v>
      </c>
      <c r="BH218" s="179">
        <f t="shared" si="192"/>
        <v>2.6096269000460616E-2</v>
      </c>
    </row>
    <row r="219" spans="2:68" s="108" customFormat="1" x14ac:dyDescent="0.25">
      <c r="B219" s="107"/>
      <c r="E219" s="109" t="s">
        <v>45</v>
      </c>
      <c r="F219" s="110" t="s">
        <v>61</v>
      </c>
      <c r="G219" s="111" t="s">
        <v>131</v>
      </c>
      <c r="H219" s="112">
        <v>41889</v>
      </c>
      <c r="I219" s="112">
        <v>36682</v>
      </c>
      <c r="J219" s="112">
        <v>37231</v>
      </c>
      <c r="K219" s="112">
        <v>40728</v>
      </c>
      <c r="L219" s="112">
        <v>39398</v>
      </c>
      <c r="M219" s="112">
        <v>42343</v>
      </c>
      <c r="N219" s="112">
        <v>49234</v>
      </c>
      <c r="O219" s="112">
        <v>50959</v>
      </c>
      <c r="P219" s="112">
        <v>55191</v>
      </c>
      <c r="R219" s="111" t="s">
        <v>131</v>
      </c>
      <c r="S219" s="220">
        <v>7.4</v>
      </c>
      <c r="T219" s="220">
        <v>8.5</v>
      </c>
      <c r="U219" s="220">
        <v>7.7</v>
      </c>
      <c r="V219" s="220">
        <v>6.9</v>
      </c>
      <c r="W219" s="220">
        <v>8.6999999999999993</v>
      </c>
      <c r="X219" s="220">
        <v>8.6</v>
      </c>
      <c r="Y219" s="220">
        <v>6.8</v>
      </c>
      <c r="Z219" s="220">
        <v>6.8</v>
      </c>
      <c r="AA219" s="220">
        <v>6.3</v>
      </c>
      <c r="AC219" s="111" t="s">
        <v>131</v>
      </c>
      <c r="AD219" s="112">
        <f t="shared" si="196"/>
        <v>6199.572000000001</v>
      </c>
      <c r="AE219" s="112">
        <f t="shared" si="177"/>
        <v>6235.94</v>
      </c>
      <c r="AF219" s="112">
        <f t="shared" si="178"/>
        <v>5733.5740000000005</v>
      </c>
      <c r="AG219" s="112">
        <f t="shared" si="179"/>
        <v>5620.4639999999999</v>
      </c>
      <c r="AH219" s="112">
        <f t="shared" si="180"/>
        <v>6855.2519999999995</v>
      </c>
      <c r="AI219" s="112">
        <f t="shared" si="181"/>
        <v>7282.9960000000001</v>
      </c>
      <c r="AJ219" s="112">
        <f t="shared" si="182"/>
        <v>6695.8240000000005</v>
      </c>
      <c r="AK219" s="112">
        <f t="shared" si="193"/>
        <v>6930.424</v>
      </c>
      <c r="AL219" s="112">
        <f t="shared" si="194"/>
        <v>6954.0659999999998</v>
      </c>
      <c r="AN219" s="111" t="s">
        <v>131</v>
      </c>
      <c r="AO219" s="113">
        <f t="shared" ref="AO219:AW219" si="219">H219/H215</f>
        <v>0.3562565380461129</v>
      </c>
      <c r="AP219" s="113">
        <f t="shared" si="219"/>
        <v>0.30531187055748837</v>
      </c>
      <c r="AQ219" s="113">
        <f t="shared" si="219"/>
        <v>0.29745535892621738</v>
      </c>
      <c r="AR219" s="113">
        <f t="shared" si="219"/>
        <v>0.30837958370876273</v>
      </c>
      <c r="AS219" s="113">
        <f t="shared" si="219"/>
        <v>0.28201861130994987</v>
      </c>
      <c r="AT219" s="113">
        <f t="shared" si="219"/>
        <v>0.28066442628275234</v>
      </c>
      <c r="AU219" s="113">
        <f t="shared" si="219"/>
        <v>0.30455653292753837</v>
      </c>
      <c r="AV219" s="113">
        <f t="shared" si="219"/>
        <v>0.29541278021576689</v>
      </c>
      <c r="AW219" s="113">
        <f t="shared" si="219"/>
        <v>0.30264196880963345</v>
      </c>
      <c r="AY219" s="111" t="s">
        <v>131</v>
      </c>
      <c r="AZ219" s="179">
        <f t="shared" si="184"/>
        <v>5.272596763082471E-2</v>
      </c>
      <c r="BA219" s="179">
        <f t="shared" si="185"/>
        <v>5.1903017994773017E-2</v>
      </c>
      <c r="BB219" s="179">
        <f t="shared" si="186"/>
        <v>4.5808125274637485E-2</v>
      </c>
      <c r="BC219" s="179">
        <f t="shared" si="187"/>
        <v>4.2556382551809255E-2</v>
      </c>
      <c r="BD219" s="179">
        <f t="shared" si="188"/>
        <v>4.9071238367931279E-2</v>
      </c>
      <c r="BE219" s="179">
        <f t="shared" si="189"/>
        <v>4.8274281320633404E-2</v>
      </c>
      <c r="BF219" s="179">
        <f t="shared" si="190"/>
        <v>4.1419688478145221E-2</v>
      </c>
      <c r="BG219" s="179">
        <f t="shared" si="191"/>
        <v>4.0176138109344298E-2</v>
      </c>
      <c r="BH219" s="179">
        <f t="shared" si="192"/>
        <v>3.8132888070013811E-2</v>
      </c>
    </row>
    <row r="220" spans="2:68" s="87" customFormat="1" x14ac:dyDescent="0.25">
      <c r="B220" s="84"/>
      <c r="C220" s="85"/>
      <c r="D220" s="85"/>
      <c r="E220" s="109" t="s">
        <v>46</v>
      </c>
      <c r="F220" s="110" t="s">
        <v>61</v>
      </c>
      <c r="G220" s="195" t="s">
        <v>7</v>
      </c>
      <c r="H220" s="69">
        <v>787971</v>
      </c>
      <c r="I220" s="69">
        <v>797600</v>
      </c>
      <c r="J220" s="69">
        <v>795985</v>
      </c>
      <c r="K220" s="69">
        <v>798949</v>
      </c>
      <c r="L220" s="69">
        <v>805938</v>
      </c>
      <c r="M220" s="69">
        <v>809019</v>
      </c>
      <c r="N220" s="69">
        <v>810033</v>
      </c>
      <c r="O220" s="69">
        <v>809968</v>
      </c>
      <c r="P220" s="69">
        <v>816464</v>
      </c>
      <c r="R220" s="195" t="s">
        <v>7</v>
      </c>
      <c r="S220" s="226">
        <v>0.7</v>
      </c>
      <c r="T220" s="226">
        <v>0.9</v>
      </c>
      <c r="U220" s="226">
        <v>0.8</v>
      </c>
      <c r="V220" s="226">
        <v>0.7</v>
      </c>
      <c r="W220" s="226">
        <v>0.8</v>
      </c>
      <c r="X220" s="226">
        <v>0.9</v>
      </c>
      <c r="Y220" s="226">
        <v>0.8</v>
      </c>
      <c r="Z220" s="226">
        <v>0.8</v>
      </c>
      <c r="AA220" s="226">
        <v>0.8</v>
      </c>
      <c r="AC220" s="195" t="s">
        <v>7</v>
      </c>
      <c r="AD220" s="69">
        <f t="shared" si="196"/>
        <v>11031.593999999999</v>
      </c>
      <c r="AE220" s="69">
        <f t="shared" si="177"/>
        <v>14356.8</v>
      </c>
      <c r="AF220" s="69">
        <f t="shared" si="178"/>
        <v>12735.76</v>
      </c>
      <c r="AG220" s="69">
        <f t="shared" si="179"/>
        <v>11185.285999999998</v>
      </c>
      <c r="AH220" s="69">
        <f t="shared" si="180"/>
        <v>12895.008</v>
      </c>
      <c r="AI220" s="69">
        <f t="shared" si="181"/>
        <v>14562.341999999999</v>
      </c>
      <c r="AJ220" s="69">
        <f t="shared" si="182"/>
        <v>12960.528</v>
      </c>
      <c r="AK220" s="69">
        <f t="shared" si="193"/>
        <v>12959.488000000001</v>
      </c>
      <c r="AL220" s="69">
        <f t="shared" si="194"/>
        <v>13063.424000000001</v>
      </c>
      <c r="AN220" s="195" t="s">
        <v>7</v>
      </c>
      <c r="AO220" s="98">
        <f t="shared" ref="AO220:AW220" si="220">H220/H220</f>
        <v>1</v>
      </c>
      <c r="AP220" s="98">
        <f t="shared" si="220"/>
        <v>1</v>
      </c>
      <c r="AQ220" s="98">
        <f t="shared" si="220"/>
        <v>1</v>
      </c>
      <c r="AR220" s="98">
        <f t="shared" si="220"/>
        <v>1</v>
      </c>
      <c r="AS220" s="98">
        <f t="shared" si="220"/>
        <v>1</v>
      </c>
      <c r="AT220" s="98">
        <f t="shared" si="220"/>
        <v>1</v>
      </c>
      <c r="AU220" s="98">
        <f t="shared" si="220"/>
        <v>1</v>
      </c>
      <c r="AV220" s="98">
        <f t="shared" si="220"/>
        <v>1</v>
      </c>
      <c r="AW220" s="98">
        <f t="shared" si="220"/>
        <v>1</v>
      </c>
      <c r="AX220" s="191"/>
      <c r="AY220" s="195" t="s">
        <v>7</v>
      </c>
      <c r="AZ220" s="178">
        <f t="shared" si="184"/>
        <v>1.3999999999999999E-2</v>
      </c>
      <c r="BA220" s="178">
        <f t="shared" si="185"/>
        <v>1.8000000000000002E-2</v>
      </c>
      <c r="BB220" s="178">
        <f t="shared" si="186"/>
        <v>1.6E-2</v>
      </c>
      <c r="BC220" s="178">
        <f t="shared" si="187"/>
        <v>1.3999999999999999E-2</v>
      </c>
      <c r="BD220" s="178">
        <f t="shared" si="188"/>
        <v>1.6E-2</v>
      </c>
      <c r="BE220" s="178">
        <f t="shared" si="189"/>
        <v>1.8000000000000002E-2</v>
      </c>
      <c r="BF220" s="178">
        <f t="shared" si="190"/>
        <v>1.6E-2</v>
      </c>
      <c r="BG220" s="178">
        <f t="shared" si="191"/>
        <v>1.6E-2</v>
      </c>
      <c r="BH220" s="178">
        <f t="shared" si="192"/>
        <v>1.6E-2</v>
      </c>
      <c r="BI220" s="191"/>
      <c r="BJ220" s="191"/>
      <c r="BK220" s="191"/>
      <c r="BL220" s="191"/>
      <c r="BM220" s="191"/>
      <c r="BN220" s="191"/>
      <c r="BO220" s="191"/>
      <c r="BP220" s="191"/>
    </row>
    <row r="221" spans="2:68" s="108" customFormat="1" x14ac:dyDescent="0.25">
      <c r="B221" s="107"/>
      <c r="E221" s="109" t="s">
        <v>46</v>
      </c>
      <c r="F221" s="110" t="s">
        <v>61</v>
      </c>
      <c r="G221" s="111" t="s">
        <v>54</v>
      </c>
      <c r="H221" s="112">
        <v>222299</v>
      </c>
      <c r="I221" s="112">
        <v>187610</v>
      </c>
      <c r="J221" s="112">
        <v>180177</v>
      </c>
      <c r="K221" s="112">
        <v>191524</v>
      </c>
      <c r="L221" s="112">
        <v>186683</v>
      </c>
      <c r="M221" s="112">
        <v>183999</v>
      </c>
      <c r="N221" s="112">
        <v>175242</v>
      </c>
      <c r="O221" s="112">
        <v>156044</v>
      </c>
      <c r="P221" s="112">
        <v>146055</v>
      </c>
      <c r="R221" s="111" t="s">
        <v>54</v>
      </c>
      <c r="S221" s="220">
        <v>2.9</v>
      </c>
      <c r="T221" s="220">
        <v>4.4000000000000004</v>
      </c>
      <c r="U221" s="220">
        <v>4</v>
      </c>
      <c r="V221" s="220">
        <v>3.8</v>
      </c>
      <c r="W221" s="220">
        <v>4.2</v>
      </c>
      <c r="X221" s="220">
        <v>3.9</v>
      </c>
      <c r="Y221" s="220">
        <v>3.6</v>
      </c>
      <c r="Z221" s="220">
        <v>4.3</v>
      </c>
      <c r="AA221" s="220">
        <v>4.5999999999999996</v>
      </c>
      <c r="AC221" s="111" t="s">
        <v>54</v>
      </c>
      <c r="AD221" s="112">
        <f t="shared" si="196"/>
        <v>12893.341999999999</v>
      </c>
      <c r="AE221" s="112">
        <f t="shared" si="177"/>
        <v>16509.680000000004</v>
      </c>
      <c r="AF221" s="112">
        <f t="shared" si="178"/>
        <v>14414.16</v>
      </c>
      <c r="AG221" s="112">
        <f t="shared" si="179"/>
        <v>14555.823999999999</v>
      </c>
      <c r="AH221" s="112">
        <f t="shared" si="180"/>
        <v>15681.371999999999</v>
      </c>
      <c r="AI221" s="112">
        <f t="shared" si="181"/>
        <v>14351.921999999999</v>
      </c>
      <c r="AJ221" s="112">
        <f t="shared" si="182"/>
        <v>12617.424000000001</v>
      </c>
      <c r="AK221" s="112">
        <f t="shared" si="193"/>
        <v>13419.784</v>
      </c>
      <c r="AL221" s="112">
        <f t="shared" si="194"/>
        <v>13437.06</v>
      </c>
      <c r="AN221" s="111" t="s">
        <v>54</v>
      </c>
      <c r="AO221" s="113">
        <f t="shared" ref="AO221:AW221" si="221">H221/H220</f>
        <v>0.28211571238027794</v>
      </c>
      <c r="AP221" s="113">
        <f t="shared" si="221"/>
        <v>0.23521815446339017</v>
      </c>
      <c r="AQ221" s="113">
        <f t="shared" si="221"/>
        <v>0.2263572806020214</v>
      </c>
      <c r="AR221" s="113">
        <f t="shared" si="221"/>
        <v>0.23971993206074479</v>
      </c>
      <c r="AS221" s="113">
        <f t="shared" si="221"/>
        <v>0.2316344433442771</v>
      </c>
      <c r="AT221" s="113">
        <f t="shared" si="221"/>
        <v>0.22743470796112328</v>
      </c>
      <c r="AU221" s="113">
        <f t="shared" si="221"/>
        <v>0.21633933432341645</v>
      </c>
      <c r="AV221" s="113">
        <f t="shared" si="221"/>
        <v>0.19265452462319499</v>
      </c>
      <c r="AW221" s="113">
        <f t="shared" si="221"/>
        <v>0.17888725038703482</v>
      </c>
      <c r="AY221" s="111" t="s">
        <v>54</v>
      </c>
      <c r="AZ221" s="179">
        <f t="shared" si="184"/>
        <v>1.6362711318056122E-2</v>
      </c>
      <c r="BA221" s="179">
        <f t="shared" si="185"/>
        <v>2.0699197592778336E-2</v>
      </c>
      <c r="BB221" s="179">
        <f t="shared" si="186"/>
        <v>1.8108582448161711E-2</v>
      </c>
      <c r="BC221" s="179">
        <f t="shared" si="187"/>
        <v>1.8218714836616603E-2</v>
      </c>
      <c r="BD221" s="179">
        <f t="shared" si="188"/>
        <v>1.9457293240919278E-2</v>
      </c>
      <c r="BE221" s="179">
        <f t="shared" si="189"/>
        <v>1.7739907220967615E-2</v>
      </c>
      <c r="BF221" s="179">
        <f t="shared" si="190"/>
        <v>1.5576432071285985E-2</v>
      </c>
      <c r="BG221" s="179">
        <f t="shared" si="191"/>
        <v>1.6568289117594767E-2</v>
      </c>
      <c r="BH221" s="179">
        <f t="shared" si="192"/>
        <v>1.6457627035607204E-2</v>
      </c>
    </row>
    <row r="222" spans="2:68" s="108" customFormat="1" x14ac:dyDescent="0.25">
      <c r="B222" s="107"/>
      <c r="E222" s="109" t="s">
        <v>46</v>
      </c>
      <c r="F222" s="110" t="s">
        <v>61</v>
      </c>
      <c r="G222" s="111" t="s">
        <v>55</v>
      </c>
      <c r="H222" s="70">
        <v>215793</v>
      </c>
      <c r="I222" s="70">
        <v>242775</v>
      </c>
      <c r="J222" s="70">
        <v>243533</v>
      </c>
      <c r="K222" s="70">
        <v>235270</v>
      </c>
      <c r="L222" s="70">
        <v>233334</v>
      </c>
      <c r="M222" s="70">
        <v>237541</v>
      </c>
      <c r="N222" s="70">
        <v>241279</v>
      </c>
      <c r="O222" s="112">
        <v>234182</v>
      </c>
      <c r="P222" s="112">
        <v>231909</v>
      </c>
      <c r="R222" s="111" t="s">
        <v>55</v>
      </c>
      <c r="S222" s="81">
        <v>2.9</v>
      </c>
      <c r="T222" s="81">
        <v>3.6</v>
      </c>
      <c r="U222" s="81">
        <v>3.2</v>
      </c>
      <c r="V222" s="81">
        <v>3.1</v>
      </c>
      <c r="W222" s="81">
        <v>3.6</v>
      </c>
      <c r="X222" s="81">
        <v>3.9</v>
      </c>
      <c r="Y222" s="81">
        <v>3.6</v>
      </c>
      <c r="Z222" s="81">
        <v>3.6</v>
      </c>
      <c r="AA222" s="81">
        <v>3.6</v>
      </c>
      <c r="AC222" s="111" t="s">
        <v>55</v>
      </c>
      <c r="AD222" s="70">
        <f t="shared" si="196"/>
        <v>12515.993999999999</v>
      </c>
      <c r="AE222" s="70">
        <f t="shared" si="177"/>
        <v>17479.8</v>
      </c>
      <c r="AF222" s="70">
        <f t="shared" si="178"/>
        <v>15586.112000000001</v>
      </c>
      <c r="AG222" s="70">
        <f t="shared" si="179"/>
        <v>14586.74</v>
      </c>
      <c r="AH222" s="70">
        <f t="shared" si="180"/>
        <v>16800.047999999999</v>
      </c>
      <c r="AI222" s="70">
        <f t="shared" si="181"/>
        <v>18528.198</v>
      </c>
      <c r="AJ222" s="70">
        <f t="shared" si="182"/>
        <v>17372.088</v>
      </c>
      <c r="AK222" s="70">
        <f t="shared" si="193"/>
        <v>16861.104000000003</v>
      </c>
      <c r="AL222" s="70">
        <f t="shared" si="194"/>
        <v>16697.448</v>
      </c>
      <c r="AN222" s="111" t="s">
        <v>55</v>
      </c>
      <c r="AO222" s="113">
        <f t="shared" ref="AO222:AW222" si="222">H222/H220</f>
        <v>0.27385906334116356</v>
      </c>
      <c r="AP222" s="113">
        <f t="shared" si="222"/>
        <v>0.3043818956870612</v>
      </c>
      <c r="AQ222" s="113">
        <f t="shared" si="222"/>
        <v>0.30595174532183395</v>
      </c>
      <c r="AR222" s="113">
        <f t="shared" si="222"/>
        <v>0.29447436569793567</v>
      </c>
      <c r="AS222" s="113">
        <f t="shared" si="222"/>
        <v>0.2895185485732153</v>
      </c>
      <c r="AT222" s="113">
        <f t="shared" si="222"/>
        <v>0.29361609554287355</v>
      </c>
      <c r="AU222" s="113">
        <f t="shared" si="222"/>
        <v>0.2978631734756485</v>
      </c>
      <c r="AV222" s="113">
        <f t="shared" si="222"/>
        <v>0.28912500246923334</v>
      </c>
      <c r="AW222" s="113">
        <f t="shared" si="222"/>
        <v>0.28404069254737502</v>
      </c>
      <c r="AY222" s="111" t="s">
        <v>55</v>
      </c>
      <c r="AZ222" s="179">
        <f t="shared" si="184"/>
        <v>1.5883825673787485E-2</v>
      </c>
      <c r="BA222" s="179">
        <f t="shared" si="185"/>
        <v>2.191549648946841E-2</v>
      </c>
      <c r="BB222" s="179">
        <f t="shared" si="186"/>
        <v>1.9580911700597375E-2</v>
      </c>
      <c r="BC222" s="179">
        <f t="shared" si="187"/>
        <v>1.8257410673272013E-2</v>
      </c>
      <c r="BD222" s="179">
        <f t="shared" si="188"/>
        <v>2.0845335497271501E-2</v>
      </c>
      <c r="BE222" s="179">
        <f t="shared" si="189"/>
        <v>2.2902055452344135E-2</v>
      </c>
      <c r="BF222" s="179">
        <f t="shared" si="190"/>
        <v>2.1446148490246696E-2</v>
      </c>
      <c r="BG222" s="179">
        <f t="shared" si="191"/>
        <v>2.0817000177784803E-2</v>
      </c>
      <c r="BH222" s="179">
        <f t="shared" si="192"/>
        <v>2.0450929863411002E-2</v>
      </c>
    </row>
    <row r="223" spans="2:68" s="108" customFormat="1" x14ac:dyDescent="0.25">
      <c r="B223" s="107"/>
      <c r="E223" s="109" t="s">
        <v>46</v>
      </c>
      <c r="F223" s="110" t="s">
        <v>61</v>
      </c>
      <c r="G223" s="111" t="s">
        <v>130</v>
      </c>
      <c r="H223" s="70">
        <v>94764</v>
      </c>
      <c r="I223" s="70">
        <v>101293</v>
      </c>
      <c r="J223" s="70">
        <v>92434</v>
      </c>
      <c r="K223" s="70">
        <v>93360</v>
      </c>
      <c r="L223" s="70">
        <v>95436</v>
      </c>
      <c r="M223" s="70">
        <v>97926</v>
      </c>
      <c r="N223" s="70">
        <v>93966</v>
      </c>
      <c r="O223" s="112">
        <v>99256</v>
      </c>
      <c r="P223" s="112">
        <v>106792</v>
      </c>
      <c r="R223" s="111" t="s">
        <v>130</v>
      </c>
      <c r="S223" s="220">
        <v>4.8</v>
      </c>
      <c r="T223" s="220">
        <v>5.5</v>
      </c>
      <c r="U223" s="220">
        <v>5.3</v>
      </c>
      <c r="V223" s="220">
        <v>5.0999999999999996</v>
      </c>
      <c r="W223" s="220">
        <v>5.6</v>
      </c>
      <c r="X223" s="220">
        <v>6</v>
      </c>
      <c r="Y223" s="220">
        <v>5.7</v>
      </c>
      <c r="Z223" s="220">
        <v>5.6</v>
      </c>
      <c r="AA223" s="220">
        <v>5.3</v>
      </c>
      <c r="AC223" s="111" t="s">
        <v>130</v>
      </c>
      <c r="AD223" s="70">
        <f t="shared" si="196"/>
        <v>9097.344000000001</v>
      </c>
      <c r="AE223" s="70">
        <f t="shared" si="177"/>
        <v>11142.23</v>
      </c>
      <c r="AF223" s="70">
        <f t="shared" si="178"/>
        <v>9798.0040000000008</v>
      </c>
      <c r="AG223" s="70">
        <f t="shared" si="179"/>
        <v>9522.7199999999993</v>
      </c>
      <c r="AH223" s="70">
        <f t="shared" si="180"/>
        <v>10688.832</v>
      </c>
      <c r="AI223" s="70">
        <f t="shared" si="181"/>
        <v>11751.12</v>
      </c>
      <c r="AJ223" s="70">
        <f t="shared" si="182"/>
        <v>10712.124000000002</v>
      </c>
      <c r="AK223" s="70">
        <f t="shared" si="193"/>
        <v>11116.671999999999</v>
      </c>
      <c r="AL223" s="70">
        <f t="shared" si="194"/>
        <v>11319.951999999999</v>
      </c>
      <c r="AN223" s="111" t="s">
        <v>130</v>
      </c>
      <c r="AO223" s="113">
        <f t="shared" ref="AO223:AW223" si="223">H223/H220</f>
        <v>0.12026330918269834</v>
      </c>
      <c r="AP223" s="113">
        <f t="shared" si="223"/>
        <v>0.12699724172517551</v>
      </c>
      <c r="AQ223" s="113">
        <f t="shared" si="223"/>
        <v>0.1161253038687915</v>
      </c>
      <c r="AR223" s="113">
        <f t="shared" si="223"/>
        <v>0.11685351630704839</v>
      </c>
      <c r="AS223" s="113">
        <f t="shared" si="223"/>
        <v>0.11841605681826642</v>
      </c>
      <c r="AT223" s="113">
        <f t="shared" si="223"/>
        <v>0.12104289268855244</v>
      </c>
      <c r="AU223" s="113">
        <f t="shared" si="223"/>
        <v>0.11600268137224039</v>
      </c>
      <c r="AV223" s="113">
        <f t="shared" si="223"/>
        <v>0.1225431128143334</v>
      </c>
      <c r="AW223" s="113">
        <f t="shared" si="223"/>
        <v>0.13079817358756785</v>
      </c>
      <c r="AY223" s="111" t="s">
        <v>130</v>
      </c>
      <c r="AZ223" s="179">
        <f t="shared" si="184"/>
        <v>1.1545277681539042E-2</v>
      </c>
      <c r="BA223" s="179">
        <f t="shared" si="185"/>
        <v>1.3969696589769307E-2</v>
      </c>
      <c r="BB223" s="179">
        <f t="shared" si="186"/>
        <v>1.2309282210091898E-2</v>
      </c>
      <c r="BC223" s="179">
        <f t="shared" si="187"/>
        <v>1.1919058663318936E-2</v>
      </c>
      <c r="BD223" s="179">
        <f t="shared" si="188"/>
        <v>1.326259836364584E-2</v>
      </c>
      <c r="BE223" s="179">
        <f t="shared" si="189"/>
        <v>1.4525147122626291E-2</v>
      </c>
      <c r="BF223" s="179">
        <f t="shared" si="190"/>
        <v>1.3224305676435405E-2</v>
      </c>
      <c r="BG223" s="179">
        <f t="shared" si="191"/>
        <v>1.3724828635205339E-2</v>
      </c>
      <c r="BH223" s="179">
        <f t="shared" si="192"/>
        <v>1.3864606400282191E-2</v>
      </c>
    </row>
    <row r="224" spans="2:68" s="108" customFormat="1" x14ac:dyDescent="0.25">
      <c r="B224" s="107"/>
      <c r="E224" s="109" t="s">
        <v>46</v>
      </c>
      <c r="F224" s="110" t="s">
        <v>61</v>
      </c>
      <c r="G224" s="111" t="s">
        <v>131</v>
      </c>
      <c r="H224" s="112">
        <v>254233</v>
      </c>
      <c r="I224" s="112">
        <v>263911</v>
      </c>
      <c r="J224" s="112">
        <v>278131</v>
      </c>
      <c r="K224" s="112">
        <v>277876</v>
      </c>
      <c r="L224" s="112">
        <v>288780</v>
      </c>
      <c r="M224" s="112">
        <v>288131</v>
      </c>
      <c r="N224" s="112">
        <v>296786</v>
      </c>
      <c r="O224" s="112">
        <v>320486</v>
      </c>
      <c r="P224" s="112">
        <v>331707</v>
      </c>
      <c r="R224" s="111" t="s">
        <v>131</v>
      </c>
      <c r="S224" s="220">
        <v>2.5</v>
      </c>
      <c r="T224" s="220">
        <v>5.5</v>
      </c>
      <c r="U224" s="220">
        <v>2.8</v>
      </c>
      <c r="V224" s="220">
        <v>2.7</v>
      </c>
      <c r="W224" s="220">
        <v>2.6</v>
      </c>
      <c r="X224" s="220">
        <v>3.2</v>
      </c>
      <c r="Y224" s="220">
        <v>2.9</v>
      </c>
      <c r="Z224" s="220">
        <v>2.7</v>
      </c>
      <c r="AA224" s="220">
        <v>2.6</v>
      </c>
      <c r="AC224" s="111" t="s">
        <v>131</v>
      </c>
      <c r="AD224" s="112">
        <f t="shared" si="196"/>
        <v>12711.65</v>
      </c>
      <c r="AE224" s="112">
        <f t="shared" si="177"/>
        <v>29030.21</v>
      </c>
      <c r="AF224" s="112">
        <f t="shared" si="178"/>
        <v>15575.335999999999</v>
      </c>
      <c r="AG224" s="112">
        <f t="shared" si="179"/>
        <v>15005.304000000002</v>
      </c>
      <c r="AH224" s="112">
        <f t="shared" si="180"/>
        <v>15016.56</v>
      </c>
      <c r="AI224" s="112">
        <f t="shared" si="181"/>
        <v>18440.384000000002</v>
      </c>
      <c r="AJ224" s="112">
        <f t="shared" si="182"/>
        <v>17213.588</v>
      </c>
      <c r="AK224" s="112">
        <f t="shared" si="193"/>
        <v>17306.244000000002</v>
      </c>
      <c r="AL224" s="112">
        <f t="shared" si="194"/>
        <v>17248.764000000003</v>
      </c>
      <c r="AN224" s="111" t="s">
        <v>131</v>
      </c>
      <c r="AO224" s="113">
        <f t="shared" ref="AO224:AW224" si="224">H224/H220</f>
        <v>0.32264258456212219</v>
      </c>
      <c r="AP224" s="113">
        <f t="shared" si="224"/>
        <v>0.33088139418254764</v>
      </c>
      <c r="AQ224" s="113">
        <f t="shared" si="224"/>
        <v>0.34941738851862786</v>
      </c>
      <c r="AR224" s="113">
        <f t="shared" si="224"/>
        <v>0.347801924778678</v>
      </c>
      <c r="AS224" s="113">
        <f t="shared" si="224"/>
        <v>0.35831540391444505</v>
      </c>
      <c r="AT224" s="113">
        <f t="shared" si="224"/>
        <v>0.35614861950090171</v>
      </c>
      <c r="AU224" s="113">
        <f t="shared" si="224"/>
        <v>0.36638754223593362</v>
      </c>
      <c r="AV224" s="113">
        <f t="shared" si="224"/>
        <v>0.39567736009323823</v>
      </c>
      <c r="AW224" s="113">
        <f t="shared" si="224"/>
        <v>0.40627265868427759</v>
      </c>
      <c r="AY224" s="111" t="s">
        <v>131</v>
      </c>
      <c r="AZ224" s="179">
        <f t="shared" si="184"/>
        <v>1.6132129228106109E-2</v>
      </c>
      <c r="BA224" s="179">
        <f t="shared" si="185"/>
        <v>3.6396953360080239E-2</v>
      </c>
      <c r="BB224" s="179">
        <f t="shared" si="186"/>
        <v>1.956737375704316E-2</v>
      </c>
      <c r="BC224" s="179">
        <f t="shared" si="187"/>
        <v>1.8781303938048614E-2</v>
      </c>
      <c r="BD224" s="179">
        <f t="shared" si="188"/>
        <v>1.8632401003551142E-2</v>
      </c>
      <c r="BE224" s="179">
        <f t="shared" si="189"/>
        <v>2.2793511648057711E-2</v>
      </c>
      <c r="BF224" s="179">
        <f t="shared" si="190"/>
        <v>2.1250477449684148E-2</v>
      </c>
      <c r="BG224" s="179">
        <f t="shared" si="191"/>
        <v>2.1366577445034864E-2</v>
      </c>
      <c r="BH224" s="179">
        <f t="shared" si="192"/>
        <v>2.1126178251582438E-2</v>
      </c>
    </row>
    <row r="225" spans="2:68" s="87" customFormat="1" x14ac:dyDescent="0.25">
      <c r="B225" s="84"/>
      <c r="C225" s="85"/>
      <c r="D225" s="85"/>
      <c r="E225" s="109" t="s">
        <v>4</v>
      </c>
      <c r="F225" s="110" t="s">
        <v>61</v>
      </c>
      <c r="G225" s="195" t="s">
        <v>7</v>
      </c>
      <c r="H225" s="69">
        <v>380842</v>
      </c>
      <c r="I225" s="69">
        <v>385755</v>
      </c>
      <c r="J225" s="69">
        <v>385021</v>
      </c>
      <c r="K225" s="69">
        <v>385923</v>
      </c>
      <c r="L225" s="69">
        <v>387309</v>
      </c>
      <c r="M225" s="69">
        <v>387595</v>
      </c>
      <c r="N225" s="69">
        <v>390614</v>
      </c>
      <c r="O225" s="69">
        <v>393020</v>
      </c>
      <c r="P225" s="69">
        <v>395971</v>
      </c>
      <c r="R225" s="195" t="s">
        <v>7</v>
      </c>
      <c r="S225" s="226">
        <v>1.9</v>
      </c>
      <c r="T225" s="226">
        <v>1.1000000000000001</v>
      </c>
      <c r="U225" s="226">
        <v>1</v>
      </c>
      <c r="V225" s="226">
        <v>1</v>
      </c>
      <c r="W225" s="226">
        <v>1.1000000000000001</v>
      </c>
      <c r="X225" s="226">
        <v>1.2</v>
      </c>
      <c r="Y225" s="226">
        <v>1</v>
      </c>
      <c r="Z225" s="226">
        <v>1</v>
      </c>
      <c r="AA225" s="226">
        <v>1</v>
      </c>
      <c r="AC225" s="195" t="s">
        <v>7</v>
      </c>
      <c r="AD225" s="69">
        <f t="shared" si="196"/>
        <v>14471.995999999999</v>
      </c>
      <c r="AE225" s="69">
        <f t="shared" si="177"/>
        <v>8486.61</v>
      </c>
      <c r="AF225" s="69">
        <f t="shared" si="178"/>
        <v>7700.42</v>
      </c>
      <c r="AG225" s="69">
        <f t="shared" si="179"/>
        <v>7718.46</v>
      </c>
      <c r="AH225" s="69">
        <f t="shared" si="180"/>
        <v>8520.7980000000007</v>
      </c>
      <c r="AI225" s="69">
        <f t="shared" si="181"/>
        <v>9302.2800000000007</v>
      </c>
      <c r="AJ225" s="69">
        <f t="shared" si="182"/>
        <v>7812.28</v>
      </c>
      <c r="AK225" s="69">
        <f t="shared" si="193"/>
        <v>7860.4</v>
      </c>
      <c r="AL225" s="69">
        <f t="shared" si="194"/>
        <v>7919.42</v>
      </c>
      <c r="AN225" s="195" t="s">
        <v>7</v>
      </c>
      <c r="AO225" s="98">
        <f t="shared" ref="AO225:AW225" si="225">H225/H225</f>
        <v>1</v>
      </c>
      <c r="AP225" s="98">
        <f t="shared" si="225"/>
        <v>1</v>
      </c>
      <c r="AQ225" s="98">
        <f t="shared" si="225"/>
        <v>1</v>
      </c>
      <c r="AR225" s="98">
        <f t="shared" si="225"/>
        <v>1</v>
      </c>
      <c r="AS225" s="98">
        <f t="shared" si="225"/>
        <v>1</v>
      </c>
      <c r="AT225" s="98">
        <f t="shared" si="225"/>
        <v>1</v>
      </c>
      <c r="AU225" s="98">
        <f t="shared" si="225"/>
        <v>1</v>
      </c>
      <c r="AV225" s="98">
        <f t="shared" si="225"/>
        <v>1</v>
      </c>
      <c r="AW225" s="98">
        <f t="shared" si="225"/>
        <v>1</v>
      </c>
      <c r="AX225" s="191"/>
      <c r="AY225" s="195" t="s">
        <v>7</v>
      </c>
      <c r="AZ225" s="178">
        <f t="shared" si="184"/>
        <v>3.7999999999999999E-2</v>
      </c>
      <c r="BA225" s="178">
        <f t="shared" si="185"/>
        <v>2.2000000000000002E-2</v>
      </c>
      <c r="BB225" s="178">
        <f t="shared" si="186"/>
        <v>0.02</v>
      </c>
      <c r="BC225" s="178">
        <f t="shared" si="187"/>
        <v>0.02</v>
      </c>
      <c r="BD225" s="178">
        <f t="shared" si="188"/>
        <v>2.2000000000000002E-2</v>
      </c>
      <c r="BE225" s="178">
        <f t="shared" si="189"/>
        <v>2.4E-2</v>
      </c>
      <c r="BF225" s="178">
        <f t="shared" si="190"/>
        <v>0.02</v>
      </c>
      <c r="BG225" s="178">
        <f t="shared" si="191"/>
        <v>0.02</v>
      </c>
      <c r="BH225" s="178">
        <f t="shared" si="192"/>
        <v>0.02</v>
      </c>
      <c r="BI225" s="191"/>
      <c r="BJ225" s="191"/>
      <c r="BK225" s="191"/>
      <c r="BL225" s="191"/>
      <c r="BM225" s="191"/>
      <c r="BN225" s="191"/>
      <c r="BO225" s="191"/>
      <c r="BP225" s="191"/>
    </row>
    <row r="226" spans="2:68" s="108" customFormat="1" x14ac:dyDescent="0.25">
      <c r="B226" s="107"/>
      <c r="E226" s="109" t="s">
        <v>4</v>
      </c>
      <c r="F226" s="110" t="s">
        <v>61</v>
      </c>
      <c r="G226" s="111" t="s">
        <v>54</v>
      </c>
      <c r="H226" s="112">
        <v>115145</v>
      </c>
      <c r="I226" s="112">
        <v>97656</v>
      </c>
      <c r="J226" s="112">
        <v>91422</v>
      </c>
      <c r="K226" s="112">
        <v>100580</v>
      </c>
      <c r="L226" s="112">
        <v>96364</v>
      </c>
      <c r="M226" s="112">
        <v>95165</v>
      </c>
      <c r="N226" s="112">
        <v>91621</v>
      </c>
      <c r="O226" s="112">
        <v>85464</v>
      </c>
      <c r="P226" s="112">
        <v>80561</v>
      </c>
      <c r="R226" s="111" t="s">
        <v>54</v>
      </c>
      <c r="S226" s="220">
        <v>4.5</v>
      </c>
      <c r="T226" s="220">
        <v>5</v>
      </c>
      <c r="U226" s="220">
        <v>5.0999999999999996</v>
      </c>
      <c r="V226" s="220">
        <v>4.5</v>
      </c>
      <c r="W226" s="220">
        <v>5.0999999999999996</v>
      </c>
      <c r="X226" s="220">
        <v>5.5</v>
      </c>
      <c r="Y226" s="220">
        <v>5.4</v>
      </c>
      <c r="Z226" s="220">
        <v>5.9</v>
      </c>
      <c r="AA226" s="220">
        <v>6.1</v>
      </c>
      <c r="AC226" s="111" t="s">
        <v>54</v>
      </c>
      <c r="AD226" s="112">
        <f t="shared" si="196"/>
        <v>10363.049999999999</v>
      </c>
      <c r="AE226" s="112">
        <f t="shared" si="177"/>
        <v>9765.6</v>
      </c>
      <c r="AF226" s="112">
        <f t="shared" si="178"/>
        <v>9325.0439999999999</v>
      </c>
      <c r="AG226" s="112">
        <f t="shared" si="179"/>
        <v>9052.2000000000007</v>
      </c>
      <c r="AH226" s="112">
        <f t="shared" si="180"/>
        <v>9829.1279999999988</v>
      </c>
      <c r="AI226" s="112">
        <f t="shared" si="181"/>
        <v>10468.15</v>
      </c>
      <c r="AJ226" s="112">
        <f t="shared" si="182"/>
        <v>9895.0680000000011</v>
      </c>
      <c r="AK226" s="112">
        <f t="shared" si="193"/>
        <v>10084.752</v>
      </c>
      <c r="AL226" s="112">
        <f t="shared" si="194"/>
        <v>9828.4419999999991</v>
      </c>
      <c r="AN226" s="111" t="s">
        <v>54</v>
      </c>
      <c r="AO226" s="113">
        <f t="shared" ref="AO226:AW226" si="226">H226/H225</f>
        <v>0.30234322895058846</v>
      </c>
      <c r="AP226" s="113">
        <f t="shared" si="226"/>
        <v>0.25315550025275108</v>
      </c>
      <c r="AQ226" s="113">
        <f t="shared" si="226"/>
        <v>0.2374467886167248</v>
      </c>
      <c r="AR226" s="113">
        <f t="shared" si="226"/>
        <v>0.26062193753676249</v>
      </c>
      <c r="AS226" s="113">
        <f t="shared" si="226"/>
        <v>0.24880392658058553</v>
      </c>
      <c r="AT226" s="113">
        <f t="shared" si="226"/>
        <v>0.24552690308182509</v>
      </c>
      <c r="AU226" s="113">
        <f t="shared" si="226"/>
        <v>0.23455636510724143</v>
      </c>
      <c r="AV226" s="113">
        <f t="shared" si="226"/>
        <v>0.21745458246399674</v>
      </c>
      <c r="AW226" s="113">
        <f t="shared" si="226"/>
        <v>0.20345176793250011</v>
      </c>
      <c r="AY226" s="111" t="s">
        <v>54</v>
      </c>
      <c r="AZ226" s="179">
        <f t="shared" si="184"/>
        <v>2.721089060555296E-2</v>
      </c>
      <c r="BA226" s="179">
        <f t="shared" si="185"/>
        <v>2.5315550025275108E-2</v>
      </c>
      <c r="BB226" s="179">
        <f t="shared" si="186"/>
        <v>2.4219572438905931E-2</v>
      </c>
      <c r="BC226" s="179">
        <f t="shared" si="187"/>
        <v>2.3455974378308625E-2</v>
      </c>
      <c r="BD226" s="179">
        <f t="shared" si="188"/>
        <v>2.5378000511219724E-2</v>
      </c>
      <c r="BE226" s="179">
        <f t="shared" si="189"/>
        <v>2.7007959339000763E-2</v>
      </c>
      <c r="BF226" s="179">
        <f t="shared" si="190"/>
        <v>2.5332087431582075E-2</v>
      </c>
      <c r="BG226" s="179">
        <f t="shared" si="191"/>
        <v>2.5659640730751616E-2</v>
      </c>
      <c r="BH226" s="179">
        <f t="shared" si="192"/>
        <v>2.4821115687765013E-2</v>
      </c>
    </row>
    <row r="227" spans="2:68" s="108" customFormat="1" x14ac:dyDescent="0.25">
      <c r="B227" s="107"/>
      <c r="E227" s="109" t="s">
        <v>4</v>
      </c>
      <c r="F227" s="110" t="s">
        <v>61</v>
      </c>
      <c r="G227" s="111" t="s">
        <v>55</v>
      </c>
      <c r="H227" s="70">
        <v>117135</v>
      </c>
      <c r="I227" s="70">
        <v>135364</v>
      </c>
      <c r="J227" s="70">
        <v>129959</v>
      </c>
      <c r="K227" s="70">
        <v>122916</v>
      </c>
      <c r="L227" s="70">
        <v>120686</v>
      </c>
      <c r="M227" s="70">
        <v>122593</v>
      </c>
      <c r="N227" s="70">
        <v>120235</v>
      </c>
      <c r="O227" s="112">
        <v>120402</v>
      </c>
      <c r="P227" s="112">
        <v>123800</v>
      </c>
      <c r="R227" s="111" t="s">
        <v>55</v>
      </c>
      <c r="S227" s="81">
        <v>4.5</v>
      </c>
      <c r="T227" s="81">
        <v>4.8</v>
      </c>
      <c r="U227" s="81">
        <v>4.3</v>
      </c>
      <c r="V227" s="81">
        <v>4.8</v>
      </c>
      <c r="W227" s="81">
        <v>5.5</v>
      </c>
      <c r="X227" s="81">
        <v>5.8</v>
      </c>
      <c r="Y227" s="81">
        <v>5.4</v>
      </c>
      <c r="Z227" s="81">
        <v>4.7</v>
      </c>
      <c r="AA227" s="81">
        <v>5.3</v>
      </c>
      <c r="AC227" s="111" t="s">
        <v>55</v>
      </c>
      <c r="AD227" s="70">
        <f t="shared" si="196"/>
        <v>10542.15</v>
      </c>
      <c r="AE227" s="70">
        <f t="shared" si="177"/>
        <v>12994.944</v>
      </c>
      <c r="AF227" s="70">
        <f t="shared" si="178"/>
        <v>11176.473999999998</v>
      </c>
      <c r="AG227" s="70">
        <f t="shared" si="179"/>
        <v>11799.935999999998</v>
      </c>
      <c r="AH227" s="70">
        <f t="shared" si="180"/>
        <v>13275.46</v>
      </c>
      <c r="AI227" s="70">
        <f t="shared" si="181"/>
        <v>14220.788</v>
      </c>
      <c r="AJ227" s="70">
        <f t="shared" si="182"/>
        <v>12985.38</v>
      </c>
      <c r="AK227" s="70">
        <f t="shared" si="193"/>
        <v>11317.788</v>
      </c>
      <c r="AL227" s="70">
        <f t="shared" si="194"/>
        <v>13122.8</v>
      </c>
      <c r="AN227" s="111" t="s">
        <v>55</v>
      </c>
      <c r="AO227" s="113">
        <f t="shared" ref="AO227:AW227" si="227">H227/H225</f>
        <v>0.30756849297083833</v>
      </c>
      <c r="AP227" s="113">
        <f t="shared" si="227"/>
        <v>0.3509066635558839</v>
      </c>
      <c r="AQ227" s="113">
        <f t="shared" si="227"/>
        <v>0.33753743302313383</v>
      </c>
      <c r="AR227" s="113">
        <f t="shared" si="227"/>
        <v>0.31849876788893122</v>
      </c>
      <c r="AS227" s="113">
        <f t="shared" si="227"/>
        <v>0.3116013312368161</v>
      </c>
      <c r="AT227" s="113">
        <f t="shared" si="227"/>
        <v>0.31629148982830013</v>
      </c>
      <c r="AU227" s="113">
        <f t="shared" si="227"/>
        <v>0.30781026793714511</v>
      </c>
      <c r="AV227" s="113">
        <f t="shared" si="227"/>
        <v>0.30635082184112766</v>
      </c>
      <c r="AW227" s="113">
        <f t="shared" si="227"/>
        <v>0.31264915865050724</v>
      </c>
      <c r="AY227" s="111" t="s">
        <v>55</v>
      </c>
      <c r="AZ227" s="179">
        <f t="shared" si="184"/>
        <v>2.7681164367375447E-2</v>
      </c>
      <c r="BA227" s="179">
        <f t="shared" si="185"/>
        <v>3.3687039701364857E-2</v>
      </c>
      <c r="BB227" s="179">
        <f t="shared" si="186"/>
        <v>2.9028219239989508E-2</v>
      </c>
      <c r="BC227" s="179">
        <f t="shared" si="187"/>
        <v>3.0575881717337397E-2</v>
      </c>
      <c r="BD227" s="179">
        <f t="shared" si="188"/>
        <v>3.4276146436049773E-2</v>
      </c>
      <c r="BE227" s="179">
        <f t="shared" si="189"/>
        <v>3.6689812820082809E-2</v>
      </c>
      <c r="BF227" s="179">
        <f t="shared" si="190"/>
        <v>3.3243508937211674E-2</v>
      </c>
      <c r="BG227" s="179">
        <f t="shared" si="191"/>
        <v>2.8796977253066004E-2</v>
      </c>
      <c r="BH227" s="179">
        <f t="shared" si="192"/>
        <v>3.3140810816953768E-2</v>
      </c>
    </row>
    <row r="228" spans="2:68" s="108" customFormat="1" x14ac:dyDescent="0.25">
      <c r="B228" s="107"/>
      <c r="E228" s="109" t="s">
        <v>4</v>
      </c>
      <c r="F228" s="110" t="s">
        <v>61</v>
      </c>
      <c r="G228" s="111" t="s">
        <v>130</v>
      </c>
      <c r="H228" s="70">
        <v>41308</v>
      </c>
      <c r="I228" s="70">
        <v>50119</v>
      </c>
      <c r="J228" s="70">
        <v>49768</v>
      </c>
      <c r="K228" s="70">
        <v>44719</v>
      </c>
      <c r="L228" s="70">
        <v>44238</v>
      </c>
      <c r="M228" s="70">
        <v>46867</v>
      </c>
      <c r="N228" s="70">
        <v>46562</v>
      </c>
      <c r="O228" s="112">
        <v>47919</v>
      </c>
      <c r="P228" s="112">
        <v>51567</v>
      </c>
      <c r="R228" s="111" t="s">
        <v>130</v>
      </c>
      <c r="S228" s="220">
        <v>7.4</v>
      </c>
      <c r="T228" s="220">
        <v>8.1</v>
      </c>
      <c r="U228" s="220">
        <v>7.7</v>
      </c>
      <c r="V228" s="220">
        <v>7.9</v>
      </c>
      <c r="W228" s="220">
        <v>9.1</v>
      </c>
      <c r="X228" s="220">
        <v>8.9</v>
      </c>
      <c r="Y228" s="220">
        <v>8.3000000000000007</v>
      </c>
      <c r="Z228" s="220">
        <v>8.4</v>
      </c>
      <c r="AA228" s="220">
        <v>7.7</v>
      </c>
      <c r="AC228" s="111" t="s">
        <v>130</v>
      </c>
      <c r="AD228" s="70">
        <f t="shared" si="196"/>
        <v>6113.5839999999998</v>
      </c>
      <c r="AE228" s="70">
        <f t="shared" si="177"/>
        <v>8119.2779999999993</v>
      </c>
      <c r="AF228" s="70">
        <f t="shared" si="178"/>
        <v>7664.2720000000008</v>
      </c>
      <c r="AG228" s="70">
        <f t="shared" si="179"/>
        <v>7065.6020000000008</v>
      </c>
      <c r="AH228" s="70">
        <f t="shared" si="180"/>
        <v>8051.3159999999998</v>
      </c>
      <c r="AI228" s="70">
        <f t="shared" si="181"/>
        <v>8342.3259999999991</v>
      </c>
      <c r="AJ228" s="70">
        <f t="shared" si="182"/>
        <v>7729.2920000000004</v>
      </c>
      <c r="AK228" s="70">
        <f t="shared" si="193"/>
        <v>8050.3920000000007</v>
      </c>
      <c r="AL228" s="70">
        <f t="shared" si="194"/>
        <v>7941.3180000000002</v>
      </c>
      <c r="AN228" s="111" t="s">
        <v>130</v>
      </c>
      <c r="AO228" s="113">
        <f t="shared" ref="AO228:AW228" si="228">H228/H225</f>
        <v>0.10846492771280479</v>
      </c>
      <c r="AP228" s="113">
        <f t="shared" si="228"/>
        <v>0.12992443390234734</v>
      </c>
      <c r="AQ228" s="113">
        <f t="shared" si="228"/>
        <v>0.1292604818957927</v>
      </c>
      <c r="AR228" s="113">
        <f t="shared" si="228"/>
        <v>0.11587544665645738</v>
      </c>
      <c r="AS228" s="113">
        <f t="shared" si="228"/>
        <v>0.1142188794993145</v>
      </c>
      <c r="AT228" s="113">
        <f t="shared" si="228"/>
        <v>0.12091745249551723</v>
      </c>
      <c r="AU228" s="113">
        <f t="shared" si="228"/>
        <v>0.11920207673048074</v>
      </c>
      <c r="AV228" s="113">
        <f t="shared" si="228"/>
        <v>0.12192509287059183</v>
      </c>
      <c r="AW228" s="113">
        <f t="shared" si="228"/>
        <v>0.13022923395905256</v>
      </c>
      <c r="AY228" s="111" t="s">
        <v>130</v>
      </c>
      <c r="AZ228" s="179">
        <f t="shared" si="184"/>
        <v>1.6052809301495111E-2</v>
      </c>
      <c r="BA228" s="179">
        <f t="shared" si="185"/>
        <v>2.1047758292180266E-2</v>
      </c>
      <c r="BB228" s="179">
        <f t="shared" si="186"/>
        <v>1.9906114211952076E-2</v>
      </c>
      <c r="BC228" s="179">
        <f t="shared" si="187"/>
        <v>1.8308320571720268E-2</v>
      </c>
      <c r="BD228" s="179">
        <f t="shared" si="188"/>
        <v>2.0787836068875239E-2</v>
      </c>
      <c r="BE228" s="179">
        <f t="shared" si="189"/>
        <v>2.1523306544202071E-2</v>
      </c>
      <c r="BF228" s="179">
        <f t="shared" si="190"/>
        <v>1.9787544737259802E-2</v>
      </c>
      <c r="BG228" s="179">
        <f t="shared" si="191"/>
        <v>2.0483415602259428E-2</v>
      </c>
      <c r="BH228" s="179">
        <f t="shared" si="192"/>
        <v>2.0055302029694095E-2</v>
      </c>
    </row>
    <row r="229" spans="2:68" s="108" customFormat="1" x14ac:dyDescent="0.25">
      <c r="B229" s="107"/>
      <c r="E229" s="109" t="s">
        <v>4</v>
      </c>
      <c r="F229" s="110" t="s">
        <v>61</v>
      </c>
      <c r="G229" s="111" t="s">
        <v>131</v>
      </c>
      <c r="H229" s="112">
        <v>106442</v>
      </c>
      <c r="I229" s="112">
        <v>101873</v>
      </c>
      <c r="J229" s="112">
        <v>112266</v>
      </c>
      <c r="K229" s="112">
        <v>117411</v>
      </c>
      <c r="L229" s="112">
        <v>124509</v>
      </c>
      <c r="M229" s="112">
        <v>121778</v>
      </c>
      <c r="N229" s="112">
        <v>130773</v>
      </c>
      <c r="O229" s="112">
        <v>139235</v>
      </c>
      <c r="P229" s="112">
        <v>140042</v>
      </c>
      <c r="R229" s="111" t="s">
        <v>131</v>
      </c>
      <c r="S229" s="220">
        <v>4.5</v>
      </c>
      <c r="T229" s="220">
        <v>5.2</v>
      </c>
      <c r="U229" s="220">
        <v>4.8</v>
      </c>
      <c r="V229" s="220">
        <v>4.4000000000000004</v>
      </c>
      <c r="W229" s="220">
        <v>5</v>
      </c>
      <c r="X229" s="220">
        <v>5.3</v>
      </c>
      <c r="Y229" s="220">
        <v>3.9</v>
      </c>
      <c r="Z229" s="220">
        <v>4.7</v>
      </c>
      <c r="AA229" s="220">
        <v>4.5999999999999996</v>
      </c>
      <c r="AC229" s="111" t="s">
        <v>131</v>
      </c>
      <c r="AD229" s="112">
        <f t="shared" si="196"/>
        <v>9579.7800000000007</v>
      </c>
      <c r="AE229" s="112">
        <f t="shared" si="177"/>
        <v>10594.791999999999</v>
      </c>
      <c r="AF229" s="112">
        <f t="shared" si="178"/>
        <v>10777.535999999998</v>
      </c>
      <c r="AG229" s="112">
        <f t="shared" si="179"/>
        <v>10332.168</v>
      </c>
      <c r="AH229" s="112">
        <f t="shared" si="180"/>
        <v>12450.9</v>
      </c>
      <c r="AI229" s="112">
        <f t="shared" si="181"/>
        <v>12908.468000000001</v>
      </c>
      <c r="AJ229" s="112">
        <f t="shared" si="182"/>
        <v>10200.294</v>
      </c>
      <c r="AK229" s="112">
        <f t="shared" si="193"/>
        <v>13088.09</v>
      </c>
      <c r="AL229" s="112">
        <f t="shared" si="194"/>
        <v>12883.864</v>
      </c>
      <c r="AN229" s="111" t="s">
        <v>131</v>
      </c>
      <c r="AO229" s="113">
        <f t="shared" ref="AO229:AW229" si="229">H229/H225</f>
        <v>0.27949123258464142</v>
      </c>
      <c r="AP229" s="113">
        <f t="shared" si="229"/>
        <v>0.2640873093025366</v>
      </c>
      <c r="AQ229" s="113">
        <f t="shared" si="229"/>
        <v>0.29158409541297747</v>
      </c>
      <c r="AR229" s="113">
        <f t="shared" si="229"/>
        <v>0.30423426434806944</v>
      </c>
      <c r="AS229" s="113">
        <f t="shared" si="229"/>
        <v>0.32147200297436929</v>
      </c>
      <c r="AT229" s="113">
        <f t="shared" si="229"/>
        <v>0.31418877952501967</v>
      </c>
      <c r="AU229" s="113">
        <f t="shared" si="229"/>
        <v>0.33478830763874312</v>
      </c>
      <c r="AV229" s="113">
        <f t="shared" si="229"/>
        <v>0.35426950282428377</v>
      </c>
      <c r="AW229" s="113">
        <f t="shared" si="229"/>
        <v>0.35366731402047119</v>
      </c>
      <c r="AY229" s="111" t="s">
        <v>131</v>
      </c>
      <c r="AZ229" s="179">
        <f t="shared" si="184"/>
        <v>2.5154210932617729E-2</v>
      </c>
      <c r="BA229" s="179">
        <f t="shared" si="185"/>
        <v>2.7465080167463806E-2</v>
      </c>
      <c r="BB229" s="179">
        <f t="shared" si="186"/>
        <v>2.7992073159645837E-2</v>
      </c>
      <c r="BC229" s="179">
        <f t="shared" si="187"/>
        <v>2.6772615262630112E-2</v>
      </c>
      <c r="BD229" s="179">
        <f t="shared" si="188"/>
        <v>3.2147200297436923E-2</v>
      </c>
      <c r="BE229" s="179">
        <f t="shared" si="189"/>
        <v>3.3304010629652082E-2</v>
      </c>
      <c r="BF229" s="179">
        <f t="shared" si="190"/>
        <v>2.6113487995821964E-2</v>
      </c>
      <c r="BG229" s="179">
        <f t="shared" si="191"/>
        <v>3.3301333265482673E-2</v>
      </c>
      <c r="BH229" s="179">
        <f t="shared" si="192"/>
        <v>3.2537392889883346E-2</v>
      </c>
    </row>
    <row r="230" spans="2:68" s="87" customFormat="1" x14ac:dyDescent="0.25">
      <c r="B230" s="84"/>
      <c r="C230" s="85"/>
      <c r="D230" s="85"/>
      <c r="E230" s="109" t="s">
        <v>5</v>
      </c>
      <c r="F230" s="110" t="s">
        <v>61</v>
      </c>
      <c r="G230" s="195" t="s">
        <v>7</v>
      </c>
      <c r="H230" s="69">
        <v>407129</v>
      </c>
      <c r="I230" s="69">
        <v>411845</v>
      </c>
      <c r="J230" s="69">
        <v>410964</v>
      </c>
      <c r="K230" s="69">
        <v>413026</v>
      </c>
      <c r="L230" s="69">
        <v>418629</v>
      </c>
      <c r="M230" s="69">
        <v>421424</v>
      </c>
      <c r="N230" s="69">
        <v>419419</v>
      </c>
      <c r="O230" s="69">
        <v>416948</v>
      </c>
      <c r="P230" s="69">
        <v>420493</v>
      </c>
      <c r="R230" s="195" t="s">
        <v>7</v>
      </c>
      <c r="S230" s="226">
        <v>1.3</v>
      </c>
      <c r="T230" s="226">
        <v>1</v>
      </c>
      <c r="U230" s="226">
        <v>0.9</v>
      </c>
      <c r="V230" s="226">
        <v>1</v>
      </c>
      <c r="W230" s="226">
        <v>1</v>
      </c>
      <c r="X230" s="226">
        <v>1.2</v>
      </c>
      <c r="Y230" s="226">
        <v>1</v>
      </c>
      <c r="Z230" s="226">
        <v>1</v>
      </c>
      <c r="AA230" s="226">
        <v>1</v>
      </c>
      <c r="AC230" s="195" t="s">
        <v>7</v>
      </c>
      <c r="AD230" s="69">
        <f t="shared" si="196"/>
        <v>10585.354000000001</v>
      </c>
      <c r="AE230" s="69">
        <f t="shared" si="177"/>
        <v>8236.9</v>
      </c>
      <c r="AF230" s="69">
        <f t="shared" si="178"/>
        <v>7397.3520000000008</v>
      </c>
      <c r="AG230" s="69">
        <f t="shared" si="179"/>
        <v>8260.52</v>
      </c>
      <c r="AH230" s="69">
        <f t="shared" si="180"/>
        <v>8372.58</v>
      </c>
      <c r="AI230" s="69">
        <f t="shared" si="181"/>
        <v>10114.175999999999</v>
      </c>
      <c r="AJ230" s="69">
        <f t="shared" si="182"/>
        <v>8388.3799999999992</v>
      </c>
      <c r="AK230" s="69">
        <f t="shared" si="193"/>
        <v>8338.9599999999991</v>
      </c>
      <c r="AL230" s="69">
        <f t="shared" si="194"/>
        <v>8409.86</v>
      </c>
      <c r="AN230" s="195" t="s">
        <v>7</v>
      </c>
      <c r="AO230" s="98">
        <f t="shared" ref="AO230:AW230" si="230">H230/H230</f>
        <v>1</v>
      </c>
      <c r="AP230" s="98">
        <f t="shared" si="230"/>
        <v>1</v>
      </c>
      <c r="AQ230" s="98">
        <f t="shared" si="230"/>
        <v>1</v>
      </c>
      <c r="AR230" s="98">
        <f t="shared" si="230"/>
        <v>1</v>
      </c>
      <c r="AS230" s="98">
        <f t="shared" si="230"/>
        <v>1</v>
      </c>
      <c r="AT230" s="98">
        <f t="shared" si="230"/>
        <v>1</v>
      </c>
      <c r="AU230" s="98">
        <f t="shared" si="230"/>
        <v>1</v>
      </c>
      <c r="AV230" s="98">
        <f t="shared" si="230"/>
        <v>1</v>
      </c>
      <c r="AW230" s="98">
        <f t="shared" si="230"/>
        <v>1</v>
      </c>
      <c r="AX230" s="191"/>
      <c r="AY230" s="195" t="s">
        <v>7</v>
      </c>
      <c r="AZ230" s="178">
        <f t="shared" si="184"/>
        <v>2.6000000000000002E-2</v>
      </c>
      <c r="BA230" s="178">
        <f t="shared" si="185"/>
        <v>0.02</v>
      </c>
      <c r="BB230" s="178">
        <f t="shared" si="186"/>
        <v>1.8000000000000002E-2</v>
      </c>
      <c r="BC230" s="178">
        <f t="shared" si="187"/>
        <v>0.02</v>
      </c>
      <c r="BD230" s="178">
        <f t="shared" si="188"/>
        <v>0.02</v>
      </c>
      <c r="BE230" s="178">
        <f t="shared" si="189"/>
        <v>2.4E-2</v>
      </c>
      <c r="BF230" s="178">
        <f t="shared" si="190"/>
        <v>0.02</v>
      </c>
      <c r="BG230" s="178">
        <f t="shared" si="191"/>
        <v>0.02</v>
      </c>
      <c r="BH230" s="178">
        <f t="shared" si="192"/>
        <v>0.02</v>
      </c>
      <c r="BI230" s="191"/>
      <c r="BJ230" s="191"/>
      <c r="BK230" s="191"/>
      <c r="BL230" s="191"/>
      <c r="BM230" s="191"/>
      <c r="BN230" s="191"/>
      <c r="BO230" s="191"/>
      <c r="BP230" s="191"/>
    </row>
    <row r="231" spans="2:68" s="108" customFormat="1" x14ac:dyDescent="0.25">
      <c r="B231" s="107"/>
      <c r="E231" s="109" t="s">
        <v>5</v>
      </c>
      <c r="F231" s="110" t="s">
        <v>61</v>
      </c>
      <c r="G231" s="111" t="s">
        <v>54</v>
      </c>
      <c r="H231" s="112">
        <v>107154</v>
      </c>
      <c r="I231" s="112">
        <v>109954</v>
      </c>
      <c r="J231" s="112">
        <v>88755</v>
      </c>
      <c r="K231" s="112">
        <v>90944</v>
      </c>
      <c r="L231" s="112">
        <v>90319</v>
      </c>
      <c r="M231" s="112">
        <v>88834</v>
      </c>
      <c r="N231" s="112">
        <v>83621</v>
      </c>
      <c r="O231" s="112">
        <v>70580</v>
      </c>
      <c r="P231" s="112">
        <v>65494</v>
      </c>
      <c r="R231" s="111" t="s">
        <v>54</v>
      </c>
      <c r="S231" s="220">
        <v>4.5</v>
      </c>
      <c r="T231" s="220">
        <v>5.5</v>
      </c>
      <c r="U231" s="220">
        <v>5.3</v>
      </c>
      <c r="V231" s="220">
        <v>5.0999999999999996</v>
      </c>
      <c r="W231" s="220">
        <v>5.6</v>
      </c>
      <c r="X231" s="220">
        <v>6</v>
      </c>
      <c r="Y231" s="220">
        <v>5.9</v>
      </c>
      <c r="Z231" s="220">
        <v>6.7</v>
      </c>
      <c r="AA231" s="220">
        <v>6.8</v>
      </c>
      <c r="AC231" s="111" t="s">
        <v>54</v>
      </c>
      <c r="AD231" s="112">
        <f t="shared" si="196"/>
        <v>9643.86</v>
      </c>
      <c r="AE231" s="112">
        <f t="shared" si="177"/>
        <v>12094.94</v>
      </c>
      <c r="AF231" s="112">
        <f t="shared" si="178"/>
        <v>9408.0300000000007</v>
      </c>
      <c r="AG231" s="112">
        <f t="shared" si="179"/>
        <v>9276.2879999999986</v>
      </c>
      <c r="AH231" s="112">
        <f t="shared" si="180"/>
        <v>10115.727999999999</v>
      </c>
      <c r="AI231" s="112">
        <f t="shared" si="181"/>
        <v>10660.08</v>
      </c>
      <c r="AJ231" s="112">
        <f t="shared" si="182"/>
        <v>9867.2780000000002</v>
      </c>
      <c r="AK231" s="112">
        <f t="shared" si="193"/>
        <v>9457.7199999999993</v>
      </c>
      <c r="AL231" s="112">
        <f t="shared" si="194"/>
        <v>8907.1840000000011</v>
      </c>
      <c r="AN231" s="111" t="s">
        <v>54</v>
      </c>
      <c r="AO231" s="113">
        <f t="shared" ref="AO231:AW231" si="231">H231/H230</f>
        <v>0.26319422099629358</v>
      </c>
      <c r="AP231" s="113">
        <f t="shared" si="231"/>
        <v>0.26697908193616532</v>
      </c>
      <c r="AQ231" s="113">
        <f t="shared" si="231"/>
        <v>0.21596782199900721</v>
      </c>
      <c r="AR231" s="113">
        <f t="shared" si="231"/>
        <v>0.22018952802002781</v>
      </c>
      <c r="AS231" s="113">
        <f t="shared" si="231"/>
        <v>0.21574950612594923</v>
      </c>
      <c r="AT231" s="113">
        <f t="shared" si="231"/>
        <v>0.21079482896085652</v>
      </c>
      <c r="AU231" s="113">
        <f t="shared" si="231"/>
        <v>0.19937341894382468</v>
      </c>
      <c r="AV231" s="113">
        <f t="shared" si="231"/>
        <v>0.16927770369446549</v>
      </c>
      <c r="AW231" s="113">
        <f t="shared" si="231"/>
        <v>0.15575526822087407</v>
      </c>
      <c r="AY231" s="111" t="s">
        <v>54</v>
      </c>
      <c r="AZ231" s="179">
        <f t="shared" si="184"/>
        <v>2.3687479889666421E-2</v>
      </c>
      <c r="BA231" s="179">
        <f t="shared" si="185"/>
        <v>2.9367699012978185E-2</v>
      </c>
      <c r="BB231" s="179">
        <f t="shared" si="186"/>
        <v>2.2892589131894764E-2</v>
      </c>
      <c r="BC231" s="179">
        <f t="shared" si="187"/>
        <v>2.2459331858042834E-2</v>
      </c>
      <c r="BD231" s="179">
        <f t="shared" si="188"/>
        <v>2.416394468610631E-2</v>
      </c>
      <c r="BE231" s="179">
        <f t="shared" si="189"/>
        <v>2.5295379475302783E-2</v>
      </c>
      <c r="BF231" s="179">
        <f t="shared" si="190"/>
        <v>2.3526063435371315E-2</v>
      </c>
      <c r="BG231" s="179">
        <f t="shared" si="191"/>
        <v>2.2683212295058378E-2</v>
      </c>
      <c r="BH231" s="179">
        <f t="shared" si="192"/>
        <v>2.1182716478038873E-2</v>
      </c>
    </row>
    <row r="232" spans="2:68" s="108" customFormat="1" x14ac:dyDescent="0.25">
      <c r="B232" s="107"/>
      <c r="E232" s="109" t="s">
        <v>5</v>
      </c>
      <c r="F232" s="110" t="s">
        <v>61</v>
      </c>
      <c r="G232" s="111" t="s">
        <v>55</v>
      </c>
      <c r="H232" s="70">
        <v>98658</v>
      </c>
      <c r="I232" s="70">
        <v>107411</v>
      </c>
      <c r="J232" s="70">
        <v>113574</v>
      </c>
      <c r="K232" s="70">
        <v>112354</v>
      </c>
      <c r="L232" s="70">
        <v>112648</v>
      </c>
      <c r="M232" s="70">
        <v>114948</v>
      </c>
      <c r="N232" s="70">
        <v>121044</v>
      </c>
      <c r="O232" s="112">
        <v>113780</v>
      </c>
      <c r="P232" s="112">
        <v>108109</v>
      </c>
      <c r="R232" s="111" t="s">
        <v>55</v>
      </c>
      <c r="S232" s="81">
        <v>4.5999999999999996</v>
      </c>
      <c r="T232" s="81">
        <v>5.5</v>
      </c>
      <c r="U232" s="81">
        <v>5</v>
      </c>
      <c r="V232" s="81">
        <v>4.8</v>
      </c>
      <c r="W232" s="81">
        <v>5.5</v>
      </c>
      <c r="X232" s="81">
        <v>5.8</v>
      </c>
      <c r="Y232" s="81">
        <v>5.4</v>
      </c>
      <c r="Z232" s="81">
        <v>5.5</v>
      </c>
      <c r="AA232" s="81">
        <v>5.3</v>
      </c>
      <c r="AC232" s="111" t="s">
        <v>55</v>
      </c>
      <c r="AD232" s="70">
        <f t="shared" si="196"/>
        <v>9076.5360000000001</v>
      </c>
      <c r="AE232" s="70">
        <f t="shared" si="177"/>
        <v>11815.21</v>
      </c>
      <c r="AF232" s="70">
        <f t="shared" si="178"/>
        <v>11357.4</v>
      </c>
      <c r="AG232" s="70">
        <f t="shared" si="179"/>
        <v>10785.983999999999</v>
      </c>
      <c r="AH232" s="70">
        <f t="shared" si="180"/>
        <v>12391.28</v>
      </c>
      <c r="AI232" s="70">
        <f t="shared" si="181"/>
        <v>13333.968000000001</v>
      </c>
      <c r="AJ232" s="70">
        <f t="shared" si="182"/>
        <v>13072.752000000002</v>
      </c>
      <c r="AK232" s="70">
        <f t="shared" si="193"/>
        <v>12515.8</v>
      </c>
      <c r="AL232" s="70">
        <f t="shared" si="194"/>
        <v>11459.553999999998</v>
      </c>
      <c r="AN232" s="111" t="s">
        <v>55</v>
      </c>
      <c r="AO232" s="113">
        <f t="shared" ref="AO232:AW232" si="232">H232/H230</f>
        <v>0.24232614232835292</v>
      </c>
      <c r="AP232" s="113">
        <f t="shared" si="232"/>
        <v>0.26080442885065985</v>
      </c>
      <c r="AQ232" s="113">
        <f t="shared" si="232"/>
        <v>0.27635997313633309</v>
      </c>
      <c r="AR232" s="113">
        <f t="shared" si="232"/>
        <v>0.27202645838276523</v>
      </c>
      <c r="AS232" s="113">
        <f t="shared" si="232"/>
        <v>0.26908790360916229</v>
      </c>
      <c r="AT232" s="113">
        <f t="shared" si="232"/>
        <v>0.27276092486426973</v>
      </c>
      <c r="AU232" s="113">
        <f t="shared" si="232"/>
        <v>0.28859922893335782</v>
      </c>
      <c r="AV232" s="113">
        <f t="shared" si="232"/>
        <v>0.27288774619376999</v>
      </c>
      <c r="AW232" s="113">
        <f t="shared" si="232"/>
        <v>0.25710059382677003</v>
      </c>
      <c r="AY232" s="111" t="s">
        <v>55</v>
      </c>
      <c r="AZ232" s="179">
        <f t="shared" si="184"/>
        <v>2.229400509420847E-2</v>
      </c>
      <c r="BA232" s="179">
        <f t="shared" si="185"/>
        <v>2.8688487173572582E-2</v>
      </c>
      <c r="BB232" s="179">
        <f t="shared" si="186"/>
        <v>2.7635997313633309E-2</v>
      </c>
      <c r="BC232" s="179">
        <f t="shared" si="187"/>
        <v>2.6114540004745463E-2</v>
      </c>
      <c r="BD232" s="179">
        <f t="shared" si="188"/>
        <v>2.9599669397007852E-2</v>
      </c>
      <c r="BE232" s="179">
        <f t="shared" si="189"/>
        <v>3.1640267284255286E-2</v>
      </c>
      <c r="BF232" s="179">
        <f t="shared" si="190"/>
        <v>3.1168716724802644E-2</v>
      </c>
      <c r="BG232" s="179">
        <f t="shared" si="191"/>
        <v>3.00176520813147E-2</v>
      </c>
      <c r="BH232" s="179">
        <f t="shared" si="192"/>
        <v>2.7252662945637621E-2</v>
      </c>
    </row>
    <row r="233" spans="2:68" s="108" customFormat="1" x14ac:dyDescent="0.25">
      <c r="B233" s="107"/>
      <c r="E233" s="109" t="s">
        <v>5</v>
      </c>
      <c r="F233" s="110" t="s">
        <v>61</v>
      </c>
      <c r="G233" s="111" t="s">
        <v>130</v>
      </c>
      <c r="H233" s="70">
        <v>53456</v>
      </c>
      <c r="I233" s="70">
        <v>51174</v>
      </c>
      <c r="J233" s="70">
        <v>42666</v>
      </c>
      <c r="K233" s="70">
        <v>48641</v>
      </c>
      <c r="L233" s="70">
        <v>51198</v>
      </c>
      <c r="M233" s="70">
        <v>51059</v>
      </c>
      <c r="N233" s="70">
        <v>47404</v>
      </c>
      <c r="O233" s="112">
        <v>51337</v>
      </c>
      <c r="P233" s="112">
        <v>55225</v>
      </c>
      <c r="R233" s="111" t="s">
        <v>130</v>
      </c>
      <c r="S233" s="220">
        <v>6.6</v>
      </c>
      <c r="T233" s="220">
        <v>8.1</v>
      </c>
      <c r="U233" s="220">
        <v>8.1</v>
      </c>
      <c r="V233" s="220">
        <v>7.4</v>
      </c>
      <c r="W233" s="220">
        <v>7.9</v>
      </c>
      <c r="X233" s="220">
        <v>8.5</v>
      </c>
      <c r="Y233" s="220">
        <v>8.3000000000000007</v>
      </c>
      <c r="Z233" s="220">
        <v>7.9</v>
      </c>
      <c r="AA233" s="220">
        <v>7.4</v>
      </c>
      <c r="AC233" s="111" t="s">
        <v>130</v>
      </c>
      <c r="AD233" s="70">
        <f t="shared" si="196"/>
        <v>7056.1919999999991</v>
      </c>
      <c r="AE233" s="70">
        <f t="shared" si="177"/>
        <v>8290.1880000000001</v>
      </c>
      <c r="AF233" s="70">
        <f t="shared" si="178"/>
        <v>6911.8919999999998</v>
      </c>
      <c r="AG233" s="70">
        <f t="shared" si="179"/>
        <v>7198.8680000000004</v>
      </c>
      <c r="AH233" s="70">
        <f t="shared" si="180"/>
        <v>8089.2840000000006</v>
      </c>
      <c r="AI233" s="70">
        <f t="shared" si="181"/>
        <v>8680.0300000000007</v>
      </c>
      <c r="AJ233" s="70">
        <f t="shared" si="182"/>
        <v>7869.0640000000003</v>
      </c>
      <c r="AK233" s="70">
        <f t="shared" si="193"/>
        <v>8111.246000000001</v>
      </c>
      <c r="AL233" s="70">
        <f t="shared" si="194"/>
        <v>8173.3</v>
      </c>
      <c r="AN233" s="111" t="s">
        <v>130</v>
      </c>
      <c r="AO233" s="113">
        <f t="shared" ref="AO233:AW233" si="233">H233/H230</f>
        <v>0.13129990740035713</v>
      </c>
      <c r="AP233" s="113">
        <f t="shared" si="233"/>
        <v>0.12425548446624336</v>
      </c>
      <c r="AQ233" s="113">
        <f t="shared" si="233"/>
        <v>0.10381931264052326</v>
      </c>
      <c r="AR233" s="113">
        <f t="shared" si="233"/>
        <v>0.11776740447332613</v>
      </c>
      <c r="AS233" s="113">
        <f t="shared" si="233"/>
        <v>0.12229921959539354</v>
      </c>
      <c r="AT233" s="113">
        <f t="shared" si="233"/>
        <v>0.12115826341167091</v>
      </c>
      <c r="AU233" s="113">
        <f t="shared" si="233"/>
        <v>0.11302301517098653</v>
      </c>
      <c r="AV233" s="113">
        <f t="shared" si="233"/>
        <v>0.12312566555062023</v>
      </c>
      <c r="AW233" s="113">
        <f t="shared" si="233"/>
        <v>0.13133393421531392</v>
      </c>
      <c r="AY233" s="111" t="s">
        <v>130</v>
      </c>
      <c r="AZ233" s="179">
        <f t="shared" si="184"/>
        <v>1.7331587776847138E-2</v>
      </c>
      <c r="BA233" s="179">
        <f t="shared" si="185"/>
        <v>2.0129388483531425E-2</v>
      </c>
      <c r="BB233" s="179">
        <f t="shared" si="186"/>
        <v>1.6818728647764767E-2</v>
      </c>
      <c r="BC233" s="179">
        <f t="shared" si="187"/>
        <v>1.7429575862052269E-2</v>
      </c>
      <c r="BD233" s="179">
        <f t="shared" si="188"/>
        <v>1.9323276696072179E-2</v>
      </c>
      <c r="BE233" s="179">
        <f t="shared" si="189"/>
        <v>2.0596904779984056E-2</v>
      </c>
      <c r="BF233" s="179">
        <f t="shared" si="190"/>
        <v>1.8761820518383768E-2</v>
      </c>
      <c r="BG233" s="179">
        <f t="shared" si="191"/>
        <v>1.9453855156997997E-2</v>
      </c>
      <c r="BH233" s="179">
        <f t="shared" si="192"/>
        <v>1.9437422263866463E-2</v>
      </c>
    </row>
    <row r="234" spans="2:68" s="108" customFormat="1" x14ac:dyDescent="0.25">
      <c r="B234" s="107"/>
      <c r="E234" s="109" t="s">
        <v>5</v>
      </c>
      <c r="F234" s="110" t="s">
        <v>61</v>
      </c>
      <c r="G234" s="111" t="s">
        <v>131</v>
      </c>
      <c r="H234" s="112">
        <v>147791</v>
      </c>
      <c r="I234" s="112">
        <v>162038</v>
      </c>
      <c r="J234" s="112">
        <v>165865</v>
      </c>
      <c r="K234" s="112">
        <v>160465</v>
      </c>
      <c r="L234" s="112">
        <v>164271</v>
      </c>
      <c r="M234" s="112">
        <v>166353</v>
      </c>
      <c r="N234" s="112">
        <v>166013</v>
      </c>
      <c r="O234" s="112">
        <v>181251</v>
      </c>
      <c r="P234" s="112">
        <v>191665</v>
      </c>
      <c r="R234" s="111" t="s">
        <v>131</v>
      </c>
      <c r="S234" s="220">
        <v>3.9</v>
      </c>
      <c r="T234" s="220">
        <v>3.4</v>
      </c>
      <c r="U234" s="220">
        <v>3.6</v>
      </c>
      <c r="V234" s="220">
        <v>3.1</v>
      </c>
      <c r="W234" s="220">
        <v>3.4</v>
      </c>
      <c r="X234" s="220">
        <v>4.5999999999999996</v>
      </c>
      <c r="Y234" s="220">
        <v>3.8</v>
      </c>
      <c r="Z234" s="220">
        <v>4.3</v>
      </c>
      <c r="AA234" s="220">
        <v>4.2</v>
      </c>
      <c r="AC234" s="111" t="s">
        <v>131</v>
      </c>
      <c r="AD234" s="112">
        <f t="shared" si="196"/>
        <v>11527.698</v>
      </c>
      <c r="AE234" s="112">
        <f t="shared" si="177"/>
        <v>11018.583999999999</v>
      </c>
      <c r="AF234" s="112">
        <f t="shared" si="178"/>
        <v>11942.28</v>
      </c>
      <c r="AG234" s="112">
        <f t="shared" si="179"/>
        <v>9948.83</v>
      </c>
      <c r="AH234" s="112">
        <f t="shared" si="180"/>
        <v>11170.428</v>
      </c>
      <c r="AI234" s="112">
        <f t="shared" si="181"/>
        <v>15304.475999999999</v>
      </c>
      <c r="AJ234" s="112">
        <f t="shared" si="182"/>
        <v>12616.988000000001</v>
      </c>
      <c r="AK234" s="112">
        <f t="shared" si="193"/>
        <v>15587.585999999999</v>
      </c>
      <c r="AL234" s="112">
        <f t="shared" si="194"/>
        <v>16099.86</v>
      </c>
      <c r="AN234" s="111" t="s">
        <v>131</v>
      </c>
      <c r="AO234" s="113">
        <f t="shared" ref="AO234:AW234" si="234">H234/H230</f>
        <v>0.36300779359858915</v>
      </c>
      <c r="AP234" s="113">
        <f t="shared" si="234"/>
        <v>0.39344413553642754</v>
      </c>
      <c r="AQ234" s="113">
        <f t="shared" si="234"/>
        <v>0.40359982869545752</v>
      </c>
      <c r="AR234" s="113">
        <f t="shared" si="234"/>
        <v>0.38851065066121743</v>
      </c>
      <c r="AS234" s="113">
        <f t="shared" si="234"/>
        <v>0.39240234193044438</v>
      </c>
      <c r="AT234" s="113">
        <f t="shared" si="234"/>
        <v>0.39474021413113636</v>
      </c>
      <c r="AU234" s="113">
        <f t="shared" si="234"/>
        <v>0.39581659390728602</v>
      </c>
      <c r="AV234" s="113">
        <f t="shared" si="234"/>
        <v>0.43470888456114432</v>
      </c>
      <c r="AW234" s="113">
        <f t="shared" si="234"/>
        <v>0.45581020373704201</v>
      </c>
      <c r="AY234" s="111" t="s">
        <v>131</v>
      </c>
      <c r="AZ234" s="179">
        <f t="shared" si="184"/>
        <v>2.8314607900689955E-2</v>
      </c>
      <c r="BA234" s="179">
        <f t="shared" si="185"/>
        <v>2.6754201216477074E-2</v>
      </c>
      <c r="BB234" s="179">
        <f t="shared" si="186"/>
        <v>2.9059187666072944E-2</v>
      </c>
      <c r="BC234" s="179">
        <f t="shared" si="187"/>
        <v>2.4087660340995479E-2</v>
      </c>
      <c r="BD234" s="179">
        <f t="shared" si="188"/>
        <v>2.6683359251270217E-2</v>
      </c>
      <c r="BE234" s="179">
        <f t="shared" si="189"/>
        <v>3.6316099700064546E-2</v>
      </c>
      <c r="BF234" s="179">
        <f t="shared" si="190"/>
        <v>3.0082061136953733E-2</v>
      </c>
      <c r="BG234" s="179">
        <f t="shared" si="191"/>
        <v>3.7384964072258414E-2</v>
      </c>
      <c r="BH234" s="179">
        <f t="shared" si="192"/>
        <v>3.8288057113911533E-2</v>
      </c>
    </row>
    <row r="235" spans="2:68" x14ac:dyDescent="0.3">
      <c r="H235" s="122" t="s">
        <v>122</v>
      </c>
      <c r="I235" s="122">
        <v>2003</v>
      </c>
      <c r="J235" s="122">
        <v>2005</v>
      </c>
      <c r="K235" s="122" t="s">
        <v>123</v>
      </c>
      <c r="L235" s="122" t="s">
        <v>124</v>
      </c>
      <c r="M235" s="122" t="s">
        <v>125</v>
      </c>
      <c r="N235" s="122" t="s">
        <v>126</v>
      </c>
      <c r="O235" s="122" t="s">
        <v>127</v>
      </c>
      <c r="P235" s="122" t="s">
        <v>128</v>
      </c>
      <c r="R235" s="111"/>
      <c r="S235" s="120" t="s">
        <v>122</v>
      </c>
      <c r="T235" s="121">
        <v>2003</v>
      </c>
      <c r="U235" s="121">
        <v>2005</v>
      </c>
      <c r="V235" s="122" t="s">
        <v>123</v>
      </c>
      <c r="W235" s="122" t="s">
        <v>124</v>
      </c>
      <c r="X235" s="122" t="s">
        <v>125</v>
      </c>
      <c r="Y235" s="122" t="s">
        <v>126</v>
      </c>
      <c r="Z235" s="122" t="s">
        <v>127</v>
      </c>
      <c r="AA235" s="122" t="s">
        <v>128</v>
      </c>
      <c r="AC235" s="197" t="s">
        <v>8</v>
      </c>
      <c r="AD235" s="120" t="s">
        <v>122</v>
      </c>
      <c r="AE235" s="121">
        <v>2003</v>
      </c>
      <c r="AF235" s="121">
        <v>2005</v>
      </c>
      <c r="AG235" s="122" t="s">
        <v>123</v>
      </c>
      <c r="AH235" s="122" t="s">
        <v>124</v>
      </c>
      <c r="AI235" s="122" t="s">
        <v>125</v>
      </c>
      <c r="AJ235" s="122" t="s">
        <v>126</v>
      </c>
      <c r="AK235" s="122" t="s">
        <v>127</v>
      </c>
      <c r="AL235" s="122" t="s">
        <v>128</v>
      </c>
      <c r="AN235" s="197" t="s">
        <v>8</v>
      </c>
      <c r="AO235" s="120" t="s">
        <v>122</v>
      </c>
      <c r="AP235" s="121">
        <v>2003</v>
      </c>
      <c r="AQ235" s="121">
        <v>2005</v>
      </c>
      <c r="AR235" s="122" t="s">
        <v>123</v>
      </c>
      <c r="AS235" s="122" t="s">
        <v>124</v>
      </c>
      <c r="AT235" s="122" t="s">
        <v>125</v>
      </c>
      <c r="AU235" s="122" t="s">
        <v>126</v>
      </c>
      <c r="AV235" s="122" t="s">
        <v>127</v>
      </c>
      <c r="AW235" s="122" t="s">
        <v>128</v>
      </c>
      <c r="AY235" s="197" t="s">
        <v>8</v>
      </c>
      <c r="AZ235" s="120" t="s">
        <v>122</v>
      </c>
      <c r="BA235" s="121">
        <v>2003</v>
      </c>
      <c r="BB235" s="121">
        <v>2005</v>
      </c>
      <c r="BC235" s="122" t="s">
        <v>123</v>
      </c>
      <c r="BD235" s="122" t="s">
        <v>124</v>
      </c>
      <c r="BE235" s="122" t="s">
        <v>125</v>
      </c>
      <c r="BF235" s="122" t="s">
        <v>126</v>
      </c>
      <c r="BG235" s="122" t="s">
        <v>127</v>
      </c>
      <c r="BH235" s="122" t="s">
        <v>128</v>
      </c>
    </row>
    <row r="236" spans="2:68" s="87" customFormat="1" x14ac:dyDescent="0.25">
      <c r="B236" s="84"/>
      <c r="C236" s="85"/>
      <c r="D236" s="85"/>
      <c r="E236" s="109" t="s">
        <v>0</v>
      </c>
      <c r="F236" s="110" t="s">
        <v>62</v>
      </c>
      <c r="G236" s="195" t="s">
        <v>7</v>
      </c>
      <c r="H236" s="69">
        <v>78852</v>
      </c>
      <c r="I236" s="69">
        <v>77954</v>
      </c>
      <c r="J236" s="69">
        <v>75530</v>
      </c>
      <c r="K236" s="69">
        <v>73372</v>
      </c>
      <c r="L236" s="69">
        <v>71155</v>
      </c>
      <c r="M236" s="69">
        <v>68215</v>
      </c>
      <c r="N236" s="69">
        <v>64871</v>
      </c>
      <c r="O236" s="69">
        <v>60847</v>
      </c>
      <c r="P236" s="69">
        <v>62957</v>
      </c>
      <c r="R236" s="195" t="s">
        <v>7</v>
      </c>
      <c r="S236" s="226">
        <v>1.6</v>
      </c>
      <c r="T236" s="226">
        <v>1.8</v>
      </c>
      <c r="U236" s="226">
        <v>1.7</v>
      </c>
      <c r="V236" s="226">
        <v>1.7</v>
      </c>
      <c r="W236" s="226">
        <v>1.9</v>
      </c>
      <c r="X236" s="226">
        <v>2</v>
      </c>
      <c r="Y236" s="226">
        <v>2</v>
      </c>
      <c r="Z236" s="226">
        <v>2.5</v>
      </c>
      <c r="AA236" s="226">
        <v>2.2000000000000002</v>
      </c>
      <c r="AC236" s="195" t="s">
        <v>7</v>
      </c>
      <c r="AD236" s="69">
        <f>2*(H236*S236/100)</f>
        <v>2523.2640000000001</v>
      </c>
      <c r="AE236" s="69">
        <f t="shared" ref="AE236:AE275" si="235">2*(I236*T236/100)</f>
        <v>2806.3440000000001</v>
      </c>
      <c r="AF236" s="69">
        <f t="shared" ref="AF236:AF275" si="236">2*(J236*U236/100)</f>
        <v>2568.02</v>
      </c>
      <c r="AG236" s="69">
        <f t="shared" ref="AG236:AG275" si="237">2*(K236*V236/100)</f>
        <v>2494.6479999999997</v>
      </c>
      <c r="AH236" s="69">
        <f t="shared" ref="AH236:AH275" si="238">2*(L236*W236/100)</f>
        <v>2703.89</v>
      </c>
      <c r="AI236" s="69">
        <f t="shared" ref="AI236:AI275" si="239">2*(M236*X236/100)</f>
        <v>2728.6</v>
      </c>
      <c r="AJ236" s="69">
        <f t="shared" ref="AJ236:AJ275" si="240">2*(N236*Y236/100)</f>
        <v>2594.84</v>
      </c>
      <c r="AK236" s="69">
        <f>2*(O236*Z236/100)</f>
        <v>3042.35</v>
      </c>
      <c r="AL236" s="69">
        <f>2*(P236*AA236/100)</f>
        <v>2770.1080000000006</v>
      </c>
      <c r="AN236" s="195" t="s">
        <v>7</v>
      </c>
      <c r="AO236" s="98">
        <f t="shared" ref="AO236:AW236" si="241">H236/H236</f>
        <v>1</v>
      </c>
      <c r="AP236" s="98">
        <f t="shared" si="241"/>
        <v>1</v>
      </c>
      <c r="AQ236" s="98">
        <f t="shared" si="241"/>
        <v>1</v>
      </c>
      <c r="AR236" s="98">
        <f t="shared" si="241"/>
        <v>1</v>
      </c>
      <c r="AS236" s="98">
        <f t="shared" si="241"/>
        <v>1</v>
      </c>
      <c r="AT236" s="98">
        <f t="shared" si="241"/>
        <v>1</v>
      </c>
      <c r="AU236" s="98">
        <f t="shared" si="241"/>
        <v>1</v>
      </c>
      <c r="AV236" s="98">
        <f t="shared" si="241"/>
        <v>1</v>
      </c>
      <c r="AW236" s="98">
        <f t="shared" si="241"/>
        <v>1</v>
      </c>
      <c r="AX236" s="191"/>
      <c r="AY236" s="195" t="s">
        <v>7</v>
      </c>
      <c r="AZ236" s="178">
        <f t="shared" ref="AZ236:AZ275" si="242">2*(S236*AO236/100)</f>
        <v>3.2000000000000001E-2</v>
      </c>
      <c r="BA236" s="178">
        <f t="shared" ref="BA236:BA275" si="243">2*(T236*AP236/100)</f>
        <v>3.6000000000000004E-2</v>
      </c>
      <c r="BB236" s="178">
        <f t="shared" ref="BB236:BB275" si="244">2*(U236*AQ236/100)</f>
        <v>3.4000000000000002E-2</v>
      </c>
      <c r="BC236" s="178">
        <f t="shared" ref="BC236:BC275" si="245">2*(V236*AR236/100)</f>
        <v>3.4000000000000002E-2</v>
      </c>
      <c r="BD236" s="178">
        <f t="shared" ref="BD236:BD275" si="246">2*(W236*AS236/100)</f>
        <v>3.7999999999999999E-2</v>
      </c>
      <c r="BE236" s="178">
        <f t="shared" ref="BE236:BE275" si="247">2*(X236*AT236/100)</f>
        <v>0.04</v>
      </c>
      <c r="BF236" s="178">
        <f t="shared" ref="BF236:BF275" si="248">2*(Y236*AU236/100)</f>
        <v>0.04</v>
      </c>
      <c r="BG236" s="178">
        <f t="shared" ref="BG236:BG275" si="249">2*(Z236*AV236/100)</f>
        <v>0.05</v>
      </c>
      <c r="BH236" s="178">
        <f t="shared" ref="BH236:BH275" si="250">2*(AA236*AW236/100)</f>
        <v>4.4000000000000004E-2</v>
      </c>
      <c r="BI236" s="191"/>
      <c r="BJ236" s="191"/>
      <c r="BK236" s="191"/>
      <c r="BL236" s="191"/>
      <c r="BM236" s="191"/>
      <c r="BN236" s="191"/>
      <c r="BO236" s="191"/>
      <c r="BP236" s="191"/>
    </row>
    <row r="237" spans="2:68" s="108" customFormat="1" x14ac:dyDescent="0.25">
      <c r="B237" s="107"/>
      <c r="E237" s="109" t="s">
        <v>0</v>
      </c>
      <c r="F237" s="110" t="s">
        <v>62</v>
      </c>
      <c r="G237" s="111" t="s">
        <v>54</v>
      </c>
      <c r="H237" s="112">
        <v>12596</v>
      </c>
      <c r="I237" s="112">
        <v>11223</v>
      </c>
      <c r="J237" s="112">
        <v>7427</v>
      </c>
      <c r="K237" s="112">
        <v>8392</v>
      </c>
      <c r="L237" s="112">
        <v>6165</v>
      </c>
      <c r="M237" s="112">
        <v>7129</v>
      </c>
      <c r="N237" s="112" t="s">
        <v>129</v>
      </c>
      <c r="O237" s="112" t="s">
        <v>129</v>
      </c>
      <c r="P237" s="112" t="s">
        <v>129</v>
      </c>
      <c r="R237" s="111" t="s">
        <v>54</v>
      </c>
      <c r="S237" s="220">
        <v>12.5</v>
      </c>
      <c r="T237" s="220">
        <v>14.1</v>
      </c>
      <c r="U237" s="220">
        <v>17</v>
      </c>
      <c r="V237" s="220">
        <v>14.8</v>
      </c>
      <c r="W237" s="220">
        <v>17.7</v>
      </c>
      <c r="X237" s="220">
        <v>19.3</v>
      </c>
      <c r="Y237" s="220" t="s">
        <v>57</v>
      </c>
      <c r="Z237" s="220" t="s">
        <v>129</v>
      </c>
      <c r="AA237" s="220" t="s">
        <v>129</v>
      </c>
      <c r="AC237" s="111" t="s">
        <v>54</v>
      </c>
      <c r="AD237" s="112">
        <f>2*(H237*S237/100)</f>
        <v>3149</v>
      </c>
      <c r="AE237" s="112">
        <f t="shared" si="235"/>
        <v>3164.886</v>
      </c>
      <c r="AF237" s="112">
        <f t="shared" si="236"/>
        <v>2525.1799999999998</v>
      </c>
      <c r="AG237" s="112">
        <f t="shared" si="237"/>
        <v>2484.0320000000002</v>
      </c>
      <c r="AH237" s="112">
        <f t="shared" si="238"/>
        <v>2182.41</v>
      </c>
      <c r="AI237" s="112">
        <f t="shared" si="239"/>
        <v>2751.7940000000003</v>
      </c>
      <c r="AJ237" s="112" t="e">
        <f t="shared" si="240"/>
        <v>#VALUE!</v>
      </c>
      <c r="AK237" s="112" t="e">
        <f t="shared" ref="AK237:AK275" si="251">2*(O237*Z237/100)</f>
        <v>#VALUE!</v>
      </c>
      <c r="AL237" s="112" t="e">
        <f t="shared" ref="AL237:AL275" si="252">2*(P237*AA237/100)</f>
        <v>#VALUE!</v>
      </c>
      <c r="AN237" s="111" t="s">
        <v>54</v>
      </c>
      <c r="AO237" s="113">
        <f t="shared" ref="AO237:AW237" si="253">H237/H236</f>
        <v>0.15974230203419063</v>
      </c>
      <c r="AP237" s="113">
        <f t="shared" si="253"/>
        <v>0.14396952048644071</v>
      </c>
      <c r="AQ237" s="113">
        <f t="shared" si="253"/>
        <v>9.8331788693234473E-2</v>
      </c>
      <c r="AR237" s="113">
        <f t="shared" si="253"/>
        <v>0.11437605626124407</v>
      </c>
      <c r="AS237" s="113">
        <f t="shared" si="253"/>
        <v>8.6641838240460969E-2</v>
      </c>
      <c r="AT237" s="113">
        <f t="shared" si="253"/>
        <v>0.10450780620098218</v>
      </c>
      <c r="AU237" s="113" t="e">
        <f t="shared" si="253"/>
        <v>#VALUE!</v>
      </c>
      <c r="AV237" s="113" t="e">
        <f t="shared" si="253"/>
        <v>#VALUE!</v>
      </c>
      <c r="AW237" s="113" t="e">
        <f t="shared" si="253"/>
        <v>#VALUE!</v>
      </c>
      <c r="AY237" s="111" t="s">
        <v>54</v>
      </c>
      <c r="AZ237" s="179">
        <f t="shared" si="242"/>
        <v>3.9935575508547656E-2</v>
      </c>
      <c r="BA237" s="179">
        <f t="shared" si="243"/>
        <v>4.059940477717628E-2</v>
      </c>
      <c r="BB237" s="179">
        <f t="shared" si="244"/>
        <v>3.3432808155699718E-2</v>
      </c>
      <c r="BC237" s="179">
        <f t="shared" si="245"/>
        <v>3.3855312653328251E-2</v>
      </c>
      <c r="BD237" s="179">
        <f t="shared" si="246"/>
        <v>3.0671210737123183E-2</v>
      </c>
      <c r="BE237" s="179">
        <f t="shared" si="247"/>
        <v>4.0340013193579126E-2</v>
      </c>
      <c r="BF237" s="179" t="e">
        <f t="shared" si="248"/>
        <v>#VALUE!</v>
      </c>
      <c r="BG237" s="179" t="e">
        <f t="shared" si="249"/>
        <v>#VALUE!</v>
      </c>
      <c r="BH237" s="179" t="e">
        <f t="shared" si="250"/>
        <v>#VALUE!</v>
      </c>
    </row>
    <row r="238" spans="2:68" s="108" customFormat="1" x14ac:dyDescent="0.25">
      <c r="B238" s="107"/>
      <c r="E238" s="109" t="s">
        <v>0</v>
      </c>
      <c r="F238" s="110" t="s">
        <v>62</v>
      </c>
      <c r="G238" s="111" t="s">
        <v>55</v>
      </c>
      <c r="H238" s="70">
        <v>3015</v>
      </c>
      <c r="I238" s="70" t="s">
        <v>129</v>
      </c>
      <c r="J238" s="112" t="s">
        <v>129</v>
      </c>
      <c r="K238" s="112" t="s">
        <v>129</v>
      </c>
      <c r="L238" s="112" t="s">
        <v>129</v>
      </c>
      <c r="M238" s="112" t="s">
        <v>129</v>
      </c>
      <c r="N238" s="112" t="s">
        <v>129</v>
      </c>
      <c r="O238" s="112" t="s">
        <v>129</v>
      </c>
      <c r="P238" s="112" t="s">
        <v>129</v>
      </c>
      <c r="R238" s="111" t="s">
        <v>55</v>
      </c>
      <c r="S238" s="81">
        <v>25</v>
      </c>
      <c r="T238" s="81" t="s">
        <v>57</v>
      </c>
      <c r="U238" s="81" t="s">
        <v>57</v>
      </c>
      <c r="V238" s="81" t="s">
        <v>57</v>
      </c>
      <c r="W238" s="81" t="s">
        <v>57</v>
      </c>
      <c r="X238" s="81" t="s">
        <v>57</v>
      </c>
      <c r="Y238" s="81" t="s">
        <v>57</v>
      </c>
      <c r="Z238" s="81" t="s">
        <v>129</v>
      </c>
      <c r="AA238" s="81" t="s">
        <v>129</v>
      </c>
      <c r="AC238" s="111" t="s">
        <v>55</v>
      </c>
      <c r="AD238" s="70">
        <f t="shared" ref="AD238:AD275" si="254">2*(H238*S238/100)</f>
        <v>1507.5</v>
      </c>
      <c r="AE238" s="70" t="e">
        <f t="shared" si="235"/>
        <v>#VALUE!</v>
      </c>
      <c r="AF238" s="70" t="e">
        <f t="shared" si="236"/>
        <v>#VALUE!</v>
      </c>
      <c r="AG238" s="70" t="e">
        <f t="shared" si="237"/>
        <v>#VALUE!</v>
      </c>
      <c r="AH238" s="70" t="e">
        <f t="shared" si="238"/>
        <v>#VALUE!</v>
      </c>
      <c r="AI238" s="70" t="e">
        <f t="shared" si="239"/>
        <v>#VALUE!</v>
      </c>
      <c r="AJ238" s="70" t="e">
        <f t="shared" si="240"/>
        <v>#VALUE!</v>
      </c>
      <c r="AK238" s="70" t="e">
        <f t="shared" si="251"/>
        <v>#VALUE!</v>
      </c>
      <c r="AL238" s="70" t="e">
        <f t="shared" si="252"/>
        <v>#VALUE!</v>
      </c>
      <c r="AN238" s="111" t="s">
        <v>55</v>
      </c>
      <c r="AO238" s="113">
        <f t="shared" ref="AO238:AW238" si="255">H238/H236</f>
        <v>3.823618931669457E-2</v>
      </c>
      <c r="AP238" s="113" t="e">
        <f t="shared" si="255"/>
        <v>#VALUE!</v>
      </c>
      <c r="AQ238" s="113" t="e">
        <f t="shared" si="255"/>
        <v>#VALUE!</v>
      </c>
      <c r="AR238" s="113" t="e">
        <f t="shared" si="255"/>
        <v>#VALUE!</v>
      </c>
      <c r="AS238" s="113" t="e">
        <f t="shared" si="255"/>
        <v>#VALUE!</v>
      </c>
      <c r="AT238" s="113" t="e">
        <f t="shared" si="255"/>
        <v>#VALUE!</v>
      </c>
      <c r="AU238" s="113" t="e">
        <f t="shared" si="255"/>
        <v>#VALUE!</v>
      </c>
      <c r="AV238" s="113" t="e">
        <f t="shared" si="255"/>
        <v>#VALUE!</v>
      </c>
      <c r="AW238" s="113" t="e">
        <f t="shared" si="255"/>
        <v>#VALUE!</v>
      </c>
      <c r="AY238" s="111" t="s">
        <v>55</v>
      </c>
      <c r="AZ238" s="179">
        <f t="shared" si="242"/>
        <v>1.9118094658347285E-2</v>
      </c>
      <c r="BA238" s="179" t="e">
        <f t="shared" si="243"/>
        <v>#VALUE!</v>
      </c>
      <c r="BB238" s="179" t="e">
        <f t="shared" si="244"/>
        <v>#VALUE!</v>
      </c>
      <c r="BC238" s="179" t="e">
        <f t="shared" si="245"/>
        <v>#VALUE!</v>
      </c>
      <c r="BD238" s="179" t="e">
        <f t="shared" si="246"/>
        <v>#VALUE!</v>
      </c>
      <c r="BE238" s="179" t="e">
        <f t="shared" si="247"/>
        <v>#VALUE!</v>
      </c>
      <c r="BF238" s="179" t="e">
        <f t="shared" si="248"/>
        <v>#VALUE!</v>
      </c>
      <c r="BG238" s="179" t="e">
        <f t="shared" si="249"/>
        <v>#VALUE!</v>
      </c>
      <c r="BH238" s="179" t="e">
        <f t="shared" si="250"/>
        <v>#VALUE!</v>
      </c>
    </row>
    <row r="239" spans="2:68" s="108" customFormat="1" x14ac:dyDescent="0.25">
      <c r="B239" s="107"/>
      <c r="E239" s="109" t="s">
        <v>0</v>
      </c>
      <c r="F239" s="110" t="s">
        <v>62</v>
      </c>
      <c r="G239" s="111" t="s">
        <v>130</v>
      </c>
      <c r="H239" s="70">
        <v>8993</v>
      </c>
      <c r="I239" s="70">
        <v>11567</v>
      </c>
      <c r="J239" s="70">
        <v>8254</v>
      </c>
      <c r="K239" s="70">
        <v>5104</v>
      </c>
      <c r="L239" s="70">
        <v>5700</v>
      </c>
      <c r="M239" s="70">
        <v>5121</v>
      </c>
      <c r="N239" s="70">
        <v>5682</v>
      </c>
      <c r="O239" s="112" t="s">
        <v>129</v>
      </c>
      <c r="P239" s="112" t="s">
        <v>129</v>
      </c>
      <c r="R239" s="111" t="s">
        <v>130</v>
      </c>
      <c r="S239" s="220">
        <v>14.7</v>
      </c>
      <c r="T239" s="220">
        <v>13.7</v>
      </c>
      <c r="U239" s="220">
        <v>15.9</v>
      </c>
      <c r="V239" s="220">
        <v>19.2</v>
      </c>
      <c r="W239" s="220">
        <v>21.9</v>
      </c>
      <c r="X239" s="220">
        <v>23.5</v>
      </c>
      <c r="Y239" s="220">
        <v>20.399999999999999</v>
      </c>
      <c r="Z239" s="220" t="s">
        <v>129</v>
      </c>
      <c r="AA239" s="220" t="s">
        <v>129</v>
      </c>
      <c r="AC239" s="111" t="s">
        <v>130</v>
      </c>
      <c r="AD239" s="70">
        <f t="shared" si="254"/>
        <v>2643.942</v>
      </c>
      <c r="AE239" s="70">
        <f t="shared" si="235"/>
        <v>3169.3579999999997</v>
      </c>
      <c r="AF239" s="70">
        <f t="shared" si="236"/>
        <v>2624.7719999999999</v>
      </c>
      <c r="AG239" s="70">
        <f t="shared" si="237"/>
        <v>1959.9360000000001</v>
      </c>
      <c r="AH239" s="70">
        <f t="shared" si="238"/>
        <v>2496.6</v>
      </c>
      <c r="AI239" s="70">
        <f t="shared" si="239"/>
        <v>2406.87</v>
      </c>
      <c r="AJ239" s="70">
        <f t="shared" si="240"/>
        <v>2318.2559999999999</v>
      </c>
      <c r="AK239" s="70" t="e">
        <f t="shared" si="251"/>
        <v>#VALUE!</v>
      </c>
      <c r="AL239" s="70" t="e">
        <f t="shared" si="252"/>
        <v>#VALUE!</v>
      </c>
      <c r="AN239" s="111" t="s">
        <v>130</v>
      </c>
      <c r="AO239" s="113">
        <f t="shared" ref="AO239:AW239" si="256">H239/H236</f>
        <v>0.11404910465175265</v>
      </c>
      <c r="AP239" s="113">
        <f t="shared" si="256"/>
        <v>0.1483823793519255</v>
      </c>
      <c r="AQ239" s="113">
        <f t="shared" si="256"/>
        <v>0.10928108036541771</v>
      </c>
      <c r="AR239" s="113">
        <f t="shared" si="256"/>
        <v>6.9563321157934913E-2</v>
      </c>
      <c r="AS239" s="113">
        <f t="shared" si="256"/>
        <v>8.0106809078771699E-2</v>
      </c>
      <c r="AT239" s="113">
        <f t="shared" si="256"/>
        <v>7.5071465220259467E-2</v>
      </c>
      <c r="AU239" s="113">
        <f t="shared" si="256"/>
        <v>8.7589215520032057E-2</v>
      </c>
      <c r="AV239" s="113" t="e">
        <f t="shared" si="256"/>
        <v>#VALUE!</v>
      </c>
      <c r="AW239" s="113" t="e">
        <f t="shared" si="256"/>
        <v>#VALUE!</v>
      </c>
      <c r="AY239" s="111" t="s">
        <v>130</v>
      </c>
      <c r="AZ239" s="179">
        <f t="shared" si="242"/>
        <v>3.3530436767615274E-2</v>
      </c>
      <c r="BA239" s="179">
        <f t="shared" si="243"/>
        <v>4.0656771942427589E-2</v>
      </c>
      <c r="BB239" s="179">
        <f t="shared" si="244"/>
        <v>3.4751383556202831E-2</v>
      </c>
      <c r="BC239" s="179">
        <f t="shared" si="245"/>
        <v>2.6712315324647004E-2</v>
      </c>
      <c r="BD239" s="179">
        <f t="shared" si="246"/>
        <v>3.5086782376502E-2</v>
      </c>
      <c r="BE239" s="179">
        <f t="shared" si="247"/>
        <v>3.528358865352195E-2</v>
      </c>
      <c r="BF239" s="179">
        <f t="shared" si="248"/>
        <v>3.5736399932173077E-2</v>
      </c>
      <c r="BG239" s="179" t="e">
        <f t="shared" si="249"/>
        <v>#VALUE!</v>
      </c>
      <c r="BH239" s="179" t="e">
        <f t="shared" si="250"/>
        <v>#VALUE!</v>
      </c>
    </row>
    <row r="240" spans="2:68" s="108" customFormat="1" x14ac:dyDescent="0.25">
      <c r="B240" s="107"/>
      <c r="E240" s="109" t="s">
        <v>0</v>
      </c>
      <c r="F240" s="110" t="s">
        <v>62</v>
      </c>
      <c r="G240" s="111" t="s">
        <v>131</v>
      </c>
      <c r="H240" s="112">
        <v>54248</v>
      </c>
      <c r="I240" s="112">
        <v>52654</v>
      </c>
      <c r="J240" s="112">
        <v>58066</v>
      </c>
      <c r="K240" s="112">
        <v>58238</v>
      </c>
      <c r="L240" s="112">
        <v>57677</v>
      </c>
      <c r="M240" s="112">
        <v>54706</v>
      </c>
      <c r="N240" s="112">
        <v>52781</v>
      </c>
      <c r="O240" s="112">
        <v>51326</v>
      </c>
      <c r="P240" s="112">
        <v>55547</v>
      </c>
      <c r="R240" s="111" t="s">
        <v>131</v>
      </c>
      <c r="S240" s="220">
        <v>5.9</v>
      </c>
      <c r="T240" s="220">
        <v>4.9000000000000004</v>
      </c>
      <c r="U240" s="220">
        <v>4.5</v>
      </c>
      <c r="V240" s="220">
        <v>3.3</v>
      </c>
      <c r="W240" s="220">
        <v>12.3</v>
      </c>
      <c r="X240" s="220">
        <v>4.2</v>
      </c>
      <c r="Y240" s="220">
        <v>4</v>
      </c>
      <c r="Z240" s="220">
        <v>2.7</v>
      </c>
      <c r="AA240" s="220">
        <v>5.5</v>
      </c>
      <c r="AC240" s="111" t="s">
        <v>131</v>
      </c>
      <c r="AD240" s="112">
        <f t="shared" si="254"/>
        <v>6401.2640000000001</v>
      </c>
      <c r="AE240" s="112">
        <f t="shared" si="235"/>
        <v>5160.0920000000006</v>
      </c>
      <c r="AF240" s="112">
        <f t="shared" si="236"/>
        <v>5225.9399999999996</v>
      </c>
      <c r="AG240" s="112">
        <f t="shared" si="237"/>
        <v>3843.7080000000001</v>
      </c>
      <c r="AH240" s="112">
        <f t="shared" si="238"/>
        <v>14188.542000000001</v>
      </c>
      <c r="AI240" s="112">
        <f t="shared" si="239"/>
        <v>4595.3040000000001</v>
      </c>
      <c r="AJ240" s="112">
        <f t="shared" si="240"/>
        <v>4222.4799999999996</v>
      </c>
      <c r="AK240" s="112">
        <f t="shared" si="251"/>
        <v>2771.6040000000003</v>
      </c>
      <c r="AL240" s="112">
        <f t="shared" si="252"/>
        <v>6110.17</v>
      </c>
      <c r="AN240" s="111" t="s">
        <v>131</v>
      </c>
      <c r="AO240" s="113">
        <f t="shared" ref="AO240:AW240" si="257">H240/H236</f>
        <v>0.68797240399736215</v>
      </c>
      <c r="AP240" s="113">
        <f t="shared" si="257"/>
        <v>0.6754496241373118</v>
      </c>
      <c r="AQ240" s="113">
        <f t="shared" si="257"/>
        <v>0.76878061697338806</v>
      </c>
      <c r="AR240" s="113">
        <f t="shared" si="257"/>
        <v>0.79373603009322358</v>
      </c>
      <c r="AS240" s="113">
        <f t="shared" si="257"/>
        <v>0.8105825310940904</v>
      </c>
      <c r="AT240" s="113">
        <f t="shared" si="257"/>
        <v>0.80196437733636294</v>
      </c>
      <c r="AU240" s="113">
        <f t="shared" si="257"/>
        <v>0.8136301274837755</v>
      </c>
      <c r="AV240" s="113">
        <f t="shared" si="257"/>
        <v>0.84352556411984159</v>
      </c>
      <c r="AW240" s="113">
        <f t="shared" si="257"/>
        <v>0.8823006178820465</v>
      </c>
      <c r="AY240" s="111" t="s">
        <v>131</v>
      </c>
      <c r="AZ240" s="179">
        <f t="shared" si="242"/>
        <v>8.1180743671688732E-2</v>
      </c>
      <c r="BA240" s="179">
        <f t="shared" si="243"/>
        <v>6.6194063165456563E-2</v>
      </c>
      <c r="BB240" s="179">
        <f t="shared" si="244"/>
        <v>6.9190255527604924E-2</v>
      </c>
      <c r="BC240" s="179">
        <f t="shared" si="245"/>
        <v>5.2386577986152753E-2</v>
      </c>
      <c r="BD240" s="179">
        <f t="shared" si="246"/>
        <v>0.19940330264914624</v>
      </c>
      <c r="BE240" s="179">
        <f t="shared" si="247"/>
        <v>6.7365007696254489E-2</v>
      </c>
      <c r="BF240" s="179">
        <f t="shared" si="248"/>
        <v>6.5090410198702042E-2</v>
      </c>
      <c r="BG240" s="179">
        <f t="shared" si="249"/>
        <v>4.5550380462471445E-2</v>
      </c>
      <c r="BH240" s="179">
        <f t="shared" si="250"/>
        <v>9.705306796702512E-2</v>
      </c>
    </row>
    <row r="241" spans="2:68" s="87" customFormat="1" x14ac:dyDescent="0.25">
      <c r="B241" s="84"/>
      <c r="C241" s="85"/>
      <c r="D241" s="85"/>
      <c r="E241" s="109" t="s">
        <v>1</v>
      </c>
      <c r="F241" s="110" t="s">
        <v>62</v>
      </c>
      <c r="G241" s="195" t="s">
        <v>7</v>
      </c>
      <c r="H241" s="69">
        <v>101075</v>
      </c>
      <c r="I241" s="69">
        <v>97255</v>
      </c>
      <c r="J241" s="69">
        <v>95376</v>
      </c>
      <c r="K241" s="69">
        <v>92424</v>
      </c>
      <c r="L241" s="69">
        <v>90700</v>
      </c>
      <c r="M241" s="69">
        <v>89789</v>
      </c>
      <c r="N241" s="69">
        <v>86769</v>
      </c>
      <c r="O241" s="69">
        <v>74798</v>
      </c>
      <c r="P241" s="69">
        <v>71410</v>
      </c>
      <c r="R241" s="195" t="s">
        <v>7</v>
      </c>
      <c r="S241" s="226">
        <v>1.4</v>
      </c>
      <c r="T241" s="226">
        <v>1.6</v>
      </c>
      <c r="U241" s="226">
        <v>1.5</v>
      </c>
      <c r="V241" s="226">
        <v>1.5</v>
      </c>
      <c r="W241" s="226">
        <v>1.7</v>
      </c>
      <c r="X241" s="226">
        <v>1.8</v>
      </c>
      <c r="Y241" s="226">
        <v>1.7</v>
      </c>
      <c r="Z241" s="226">
        <v>2.2999999999999998</v>
      </c>
      <c r="AA241" s="226">
        <v>5.3</v>
      </c>
      <c r="AC241" s="195" t="s">
        <v>7</v>
      </c>
      <c r="AD241" s="69">
        <f t="shared" si="254"/>
        <v>2830.1</v>
      </c>
      <c r="AE241" s="69">
        <f t="shared" si="235"/>
        <v>3112.16</v>
      </c>
      <c r="AF241" s="69">
        <f t="shared" si="236"/>
        <v>2861.28</v>
      </c>
      <c r="AG241" s="69">
        <f t="shared" si="237"/>
        <v>2772.72</v>
      </c>
      <c r="AH241" s="69">
        <f t="shared" si="238"/>
        <v>3083.8</v>
      </c>
      <c r="AI241" s="69">
        <f t="shared" si="239"/>
        <v>3232.4040000000005</v>
      </c>
      <c r="AJ241" s="69">
        <f t="shared" si="240"/>
        <v>2950.1459999999997</v>
      </c>
      <c r="AK241" s="69">
        <f t="shared" si="251"/>
        <v>3440.7080000000001</v>
      </c>
      <c r="AL241" s="69">
        <f t="shared" si="252"/>
        <v>7569.46</v>
      </c>
      <c r="AN241" s="195" t="s">
        <v>7</v>
      </c>
      <c r="AO241" s="98">
        <f t="shared" ref="AO241:AW241" si="258">H241/H241</f>
        <v>1</v>
      </c>
      <c r="AP241" s="98">
        <f t="shared" si="258"/>
        <v>1</v>
      </c>
      <c r="AQ241" s="98">
        <f t="shared" si="258"/>
        <v>1</v>
      </c>
      <c r="AR241" s="98">
        <f t="shared" si="258"/>
        <v>1</v>
      </c>
      <c r="AS241" s="98">
        <f t="shared" si="258"/>
        <v>1</v>
      </c>
      <c r="AT241" s="98">
        <f t="shared" si="258"/>
        <v>1</v>
      </c>
      <c r="AU241" s="98">
        <f t="shared" si="258"/>
        <v>1</v>
      </c>
      <c r="AV241" s="98">
        <f t="shared" si="258"/>
        <v>1</v>
      </c>
      <c r="AW241" s="98">
        <f t="shared" si="258"/>
        <v>1</v>
      </c>
      <c r="AX241" s="191"/>
      <c r="AY241" s="195" t="s">
        <v>7</v>
      </c>
      <c r="AZ241" s="178">
        <f t="shared" si="242"/>
        <v>2.7999999999999997E-2</v>
      </c>
      <c r="BA241" s="178">
        <f t="shared" si="243"/>
        <v>3.2000000000000001E-2</v>
      </c>
      <c r="BB241" s="178">
        <f t="shared" si="244"/>
        <v>0.03</v>
      </c>
      <c r="BC241" s="178">
        <f t="shared" si="245"/>
        <v>0.03</v>
      </c>
      <c r="BD241" s="178">
        <f t="shared" si="246"/>
        <v>3.4000000000000002E-2</v>
      </c>
      <c r="BE241" s="178">
        <f t="shared" si="247"/>
        <v>3.6000000000000004E-2</v>
      </c>
      <c r="BF241" s="178">
        <f t="shared" si="248"/>
        <v>3.4000000000000002E-2</v>
      </c>
      <c r="BG241" s="178">
        <f t="shared" si="249"/>
        <v>4.5999999999999999E-2</v>
      </c>
      <c r="BH241" s="178">
        <f t="shared" si="250"/>
        <v>0.106</v>
      </c>
      <c r="BI241" s="191"/>
      <c r="BJ241" s="191"/>
      <c r="BK241" s="191"/>
      <c r="BL241" s="191"/>
      <c r="BM241" s="191"/>
      <c r="BN241" s="191"/>
      <c r="BO241" s="191"/>
      <c r="BP241" s="191"/>
    </row>
    <row r="242" spans="2:68" s="108" customFormat="1" x14ac:dyDescent="0.25">
      <c r="B242" s="107"/>
      <c r="E242" s="109" t="s">
        <v>1</v>
      </c>
      <c r="F242" s="110" t="s">
        <v>62</v>
      </c>
      <c r="G242" s="111" t="s">
        <v>54</v>
      </c>
      <c r="H242" s="112">
        <v>36552</v>
      </c>
      <c r="I242" s="112">
        <v>33190</v>
      </c>
      <c r="J242" s="112">
        <v>30638</v>
      </c>
      <c r="K242" s="112">
        <v>26663</v>
      </c>
      <c r="L242" s="112">
        <v>30227</v>
      </c>
      <c r="M242" s="112">
        <v>29734</v>
      </c>
      <c r="N242" s="112">
        <v>24904</v>
      </c>
      <c r="O242" s="112">
        <v>21398</v>
      </c>
      <c r="P242" s="112">
        <v>15449</v>
      </c>
      <c r="R242" s="111" t="s">
        <v>54</v>
      </c>
      <c r="S242" s="220">
        <v>6</v>
      </c>
      <c r="T242" s="220">
        <v>7.5</v>
      </c>
      <c r="U242" s="220">
        <v>7.2</v>
      </c>
      <c r="V242" s="220">
        <v>7.6</v>
      </c>
      <c r="W242" s="220">
        <v>7.7</v>
      </c>
      <c r="X242" s="220">
        <v>9</v>
      </c>
      <c r="Y242" s="220">
        <v>9</v>
      </c>
      <c r="Z242" s="220">
        <v>11.4</v>
      </c>
      <c r="AA242" s="220">
        <v>14.2</v>
      </c>
      <c r="AC242" s="111" t="s">
        <v>54</v>
      </c>
      <c r="AD242" s="112">
        <f t="shared" si="254"/>
        <v>4386.24</v>
      </c>
      <c r="AE242" s="112">
        <f t="shared" si="235"/>
        <v>4978.5</v>
      </c>
      <c r="AF242" s="112">
        <f t="shared" si="236"/>
        <v>4411.8720000000003</v>
      </c>
      <c r="AG242" s="112">
        <f t="shared" si="237"/>
        <v>4052.7759999999998</v>
      </c>
      <c r="AH242" s="112">
        <f t="shared" si="238"/>
        <v>4654.9579999999996</v>
      </c>
      <c r="AI242" s="112">
        <f t="shared" si="239"/>
        <v>5352.12</v>
      </c>
      <c r="AJ242" s="112">
        <f t="shared" si="240"/>
        <v>4482.72</v>
      </c>
      <c r="AK242" s="112">
        <f t="shared" si="251"/>
        <v>4878.7440000000006</v>
      </c>
      <c r="AL242" s="112">
        <f t="shared" si="252"/>
        <v>4387.5159999999996</v>
      </c>
      <c r="AN242" s="111" t="s">
        <v>54</v>
      </c>
      <c r="AO242" s="113">
        <f t="shared" ref="AO242:AW242" si="259">H242/H241</f>
        <v>0.36163245115013604</v>
      </c>
      <c r="AP242" s="113">
        <f t="shared" si="259"/>
        <v>0.34126780114132949</v>
      </c>
      <c r="AQ242" s="113">
        <f t="shared" si="259"/>
        <v>0.3212338533803053</v>
      </c>
      <c r="AR242" s="113">
        <f t="shared" si="259"/>
        <v>0.28848567471652387</v>
      </c>
      <c r="AS242" s="113">
        <f t="shared" si="259"/>
        <v>0.33326350606394706</v>
      </c>
      <c r="AT242" s="113">
        <f t="shared" si="259"/>
        <v>0.33115415028566975</v>
      </c>
      <c r="AU242" s="113">
        <f t="shared" si="259"/>
        <v>0.28701494773479008</v>
      </c>
      <c r="AV242" s="113">
        <f t="shared" si="259"/>
        <v>0.28607716783871229</v>
      </c>
      <c r="AW242" s="113">
        <f t="shared" si="259"/>
        <v>0.21634224898473603</v>
      </c>
      <c r="AY242" s="111" t="s">
        <v>54</v>
      </c>
      <c r="AZ242" s="179">
        <f t="shared" si="242"/>
        <v>4.3395894138016325E-2</v>
      </c>
      <c r="BA242" s="179">
        <f t="shared" si="243"/>
        <v>5.1190170171199423E-2</v>
      </c>
      <c r="BB242" s="179">
        <f t="shared" si="244"/>
        <v>4.6257674886763966E-2</v>
      </c>
      <c r="BC242" s="179">
        <f t="shared" si="245"/>
        <v>4.3849822556911625E-2</v>
      </c>
      <c r="BD242" s="179">
        <f t="shared" si="246"/>
        <v>5.1322579933847853E-2</v>
      </c>
      <c r="BE242" s="179">
        <f t="shared" si="247"/>
        <v>5.9607747051420558E-2</v>
      </c>
      <c r="BF242" s="179">
        <f t="shared" si="248"/>
        <v>5.1662690592262223E-2</v>
      </c>
      <c r="BG242" s="179">
        <f t="shared" si="249"/>
        <v>6.5225594267226406E-2</v>
      </c>
      <c r="BH242" s="179">
        <f t="shared" si="250"/>
        <v>6.1441198711665035E-2</v>
      </c>
    </row>
    <row r="243" spans="2:68" s="108" customFormat="1" x14ac:dyDescent="0.25">
      <c r="B243" s="107"/>
      <c r="E243" s="109" t="s">
        <v>1</v>
      </c>
      <c r="F243" s="110" t="s">
        <v>62</v>
      </c>
      <c r="G243" s="111" t="s">
        <v>55</v>
      </c>
      <c r="H243" s="70">
        <v>13291</v>
      </c>
      <c r="I243" s="70">
        <v>15421</v>
      </c>
      <c r="J243" s="70">
        <v>12757</v>
      </c>
      <c r="K243" s="70">
        <v>13001</v>
      </c>
      <c r="L243" s="70">
        <v>10723</v>
      </c>
      <c r="M243" s="70">
        <v>10190</v>
      </c>
      <c r="N243" s="70">
        <v>7380</v>
      </c>
      <c r="O243" s="112" t="s">
        <v>129</v>
      </c>
      <c r="P243" s="112" t="s">
        <v>129</v>
      </c>
      <c r="R243" s="111" t="s">
        <v>55</v>
      </c>
      <c r="S243" s="81">
        <v>11.5</v>
      </c>
      <c r="T243" s="81">
        <v>11.7</v>
      </c>
      <c r="U243" s="81">
        <v>13</v>
      </c>
      <c r="V243" s="81">
        <v>11.6</v>
      </c>
      <c r="W243" s="81">
        <v>15.1</v>
      </c>
      <c r="X243" s="81">
        <v>16.2</v>
      </c>
      <c r="Y243" s="81">
        <v>18.899999999999999</v>
      </c>
      <c r="Z243" s="81"/>
      <c r="AA243" s="81"/>
      <c r="AC243" s="111" t="s">
        <v>55</v>
      </c>
      <c r="AD243" s="70">
        <f t="shared" si="254"/>
        <v>3056.93</v>
      </c>
      <c r="AE243" s="70">
        <f t="shared" si="235"/>
        <v>3608.5139999999997</v>
      </c>
      <c r="AF243" s="70">
        <f t="shared" si="236"/>
        <v>3316.82</v>
      </c>
      <c r="AG243" s="70">
        <f t="shared" si="237"/>
        <v>3016.232</v>
      </c>
      <c r="AH243" s="70">
        <f t="shared" si="238"/>
        <v>3238.3459999999995</v>
      </c>
      <c r="AI243" s="70">
        <f t="shared" si="239"/>
        <v>3301.56</v>
      </c>
      <c r="AJ243" s="70">
        <f t="shared" si="240"/>
        <v>2789.64</v>
      </c>
      <c r="AK243" s="70" t="e">
        <f t="shared" si="251"/>
        <v>#VALUE!</v>
      </c>
      <c r="AL243" s="70" t="e">
        <f t="shared" si="252"/>
        <v>#VALUE!</v>
      </c>
      <c r="AN243" s="111" t="s">
        <v>55</v>
      </c>
      <c r="AO243" s="113">
        <f t="shared" ref="AO243:AW243" si="260">H243/H241</f>
        <v>0.13149641355429137</v>
      </c>
      <c r="AP243" s="113">
        <f t="shared" si="260"/>
        <v>0.15856254177163129</v>
      </c>
      <c r="AQ243" s="113">
        <f t="shared" si="260"/>
        <v>0.13375482301627245</v>
      </c>
      <c r="AR243" s="113">
        <f t="shared" si="260"/>
        <v>0.14066692633947891</v>
      </c>
      <c r="AS243" s="113">
        <f t="shared" si="260"/>
        <v>0.11822491730981256</v>
      </c>
      <c r="AT243" s="113">
        <f t="shared" si="260"/>
        <v>0.11348828921137333</v>
      </c>
      <c r="AU243" s="113">
        <f t="shared" si="260"/>
        <v>8.5053417695259828E-2</v>
      </c>
      <c r="AV243" s="113" t="e">
        <f t="shared" si="260"/>
        <v>#VALUE!</v>
      </c>
      <c r="AW243" s="113" t="e">
        <f t="shared" si="260"/>
        <v>#VALUE!</v>
      </c>
      <c r="AY243" s="111" t="s">
        <v>55</v>
      </c>
      <c r="AZ243" s="179">
        <f t="shared" si="242"/>
        <v>3.0244175117487015E-2</v>
      </c>
      <c r="BA243" s="179">
        <f t="shared" si="243"/>
        <v>3.7103634774561717E-2</v>
      </c>
      <c r="BB243" s="179">
        <f t="shared" si="244"/>
        <v>3.4776253984230836E-2</v>
      </c>
      <c r="BC243" s="179">
        <f t="shared" si="245"/>
        <v>3.263472691075911E-2</v>
      </c>
      <c r="BD243" s="179">
        <f t="shared" si="246"/>
        <v>3.5703925027563393E-2</v>
      </c>
      <c r="BE243" s="179">
        <f t="shared" si="247"/>
        <v>3.6770205704484957E-2</v>
      </c>
      <c r="BF243" s="179">
        <f t="shared" si="248"/>
        <v>3.2150191888808209E-2</v>
      </c>
      <c r="BG243" s="179" t="e">
        <f t="shared" si="249"/>
        <v>#VALUE!</v>
      </c>
      <c r="BH243" s="179" t="e">
        <f t="shared" si="250"/>
        <v>#VALUE!</v>
      </c>
    </row>
    <row r="244" spans="2:68" s="108" customFormat="1" x14ac:dyDescent="0.25">
      <c r="B244" s="107"/>
      <c r="E244" s="109" t="s">
        <v>1</v>
      </c>
      <c r="F244" s="110" t="s">
        <v>62</v>
      </c>
      <c r="G244" s="111" t="s">
        <v>130</v>
      </c>
      <c r="H244" s="70">
        <v>15663</v>
      </c>
      <c r="I244" s="70">
        <v>12549</v>
      </c>
      <c r="J244" s="70">
        <v>14985</v>
      </c>
      <c r="K244" s="70">
        <v>11818</v>
      </c>
      <c r="L244" s="70">
        <v>15104</v>
      </c>
      <c r="M244" s="70">
        <v>14186</v>
      </c>
      <c r="N244" s="70">
        <v>16247</v>
      </c>
      <c r="O244" s="112">
        <v>8239</v>
      </c>
      <c r="P244" s="112">
        <v>11734</v>
      </c>
      <c r="R244" s="111" t="s">
        <v>130</v>
      </c>
      <c r="S244" s="220">
        <v>10.4</v>
      </c>
      <c r="T244" s="220">
        <v>13.5</v>
      </c>
      <c r="U244" s="220">
        <v>11.7</v>
      </c>
      <c r="V244" s="220">
        <v>12.6</v>
      </c>
      <c r="W244" s="220">
        <v>11.9</v>
      </c>
      <c r="X244" s="220">
        <v>13.3</v>
      </c>
      <c r="Y244" s="220">
        <v>11.8</v>
      </c>
      <c r="Z244" s="220">
        <v>20.2</v>
      </c>
      <c r="AA244" s="220">
        <v>15.9</v>
      </c>
      <c r="AC244" s="111" t="s">
        <v>130</v>
      </c>
      <c r="AD244" s="70">
        <f t="shared" si="254"/>
        <v>3257.9040000000005</v>
      </c>
      <c r="AE244" s="70">
        <f t="shared" si="235"/>
        <v>3388.23</v>
      </c>
      <c r="AF244" s="70">
        <f t="shared" si="236"/>
        <v>3506.49</v>
      </c>
      <c r="AG244" s="70">
        <f t="shared" si="237"/>
        <v>2978.136</v>
      </c>
      <c r="AH244" s="70">
        <f t="shared" si="238"/>
        <v>3594.752</v>
      </c>
      <c r="AI244" s="70">
        <f t="shared" si="239"/>
        <v>3773.4760000000006</v>
      </c>
      <c r="AJ244" s="70">
        <f t="shared" si="240"/>
        <v>3834.2919999999999</v>
      </c>
      <c r="AK244" s="70">
        <f t="shared" si="251"/>
        <v>3328.5559999999996</v>
      </c>
      <c r="AL244" s="70">
        <f t="shared" si="252"/>
        <v>3731.4120000000003</v>
      </c>
      <c r="AN244" s="111" t="s">
        <v>130</v>
      </c>
      <c r="AO244" s="113">
        <f t="shared" ref="AO244:AW244" si="261">H244/H241</f>
        <v>0.15496413554291369</v>
      </c>
      <c r="AP244" s="113">
        <f t="shared" si="261"/>
        <v>0.12903192637910646</v>
      </c>
      <c r="AQ244" s="113">
        <f t="shared" si="261"/>
        <v>0.15711499748364369</v>
      </c>
      <c r="AR244" s="113">
        <f t="shared" si="261"/>
        <v>0.12786722063533282</v>
      </c>
      <c r="AS244" s="113">
        <f t="shared" si="261"/>
        <v>0.16652701212789417</v>
      </c>
      <c r="AT244" s="113">
        <f t="shared" si="261"/>
        <v>0.15799262715922885</v>
      </c>
      <c r="AU244" s="113">
        <f t="shared" si="261"/>
        <v>0.18724429231638026</v>
      </c>
      <c r="AV244" s="113">
        <f t="shared" si="261"/>
        <v>0.11015000401080242</v>
      </c>
      <c r="AW244" s="113">
        <f t="shared" si="261"/>
        <v>0.16431872286794566</v>
      </c>
      <c r="AY244" s="111" t="s">
        <v>130</v>
      </c>
      <c r="AZ244" s="179">
        <f t="shared" si="242"/>
        <v>3.2232540192926047E-2</v>
      </c>
      <c r="BA244" s="179">
        <f t="shared" si="243"/>
        <v>3.4838620122358742E-2</v>
      </c>
      <c r="BB244" s="179">
        <f t="shared" si="244"/>
        <v>3.6764909411172622E-2</v>
      </c>
      <c r="BC244" s="179">
        <f t="shared" si="245"/>
        <v>3.2222539600103871E-2</v>
      </c>
      <c r="BD244" s="179">
        <f t="shared" si="246"/>
        <v>3.9633428886438817E-2</v>
      </c>
      <c r="BE244" s="179">
        <f t="shared" si="247"/>
        <v>4.2026038824354871E-2</v>
      </c>
      <c r="BF244" s="179">
        <f t="shared" si="248"/>
        <v>4.4189652986665745E-2</v>
      </c>
      <c r="BG244" s="179">
        <f t="shared" si="249"/>
        <v>4.4500601620364177E-2</v>
      </c>
      <c r="BH244" s="179">
        <f t="shared" si="250"/>
        <v>5.2253353872006719E-2</v>
      </c>
    </row>
    <row r="245" spans="2:68" s="108" customFormat="1" x14ac:dyDescent="0.25">
      <c r="B245" s="107"/>
      <c r="E245" s="109" t="s">
        <v>1</v>
      </c>
      <c r="F245" s="110" t="s">
        <v>62</v>
      </c>
      <c r="G245" s="111" t="s">
        <v>131</v>
      </c>
      <c r="H245" s="112">
        <v>35403</v>
      </c>
      <c r="I245" s="112">
        <v>35268</v>
      </c>
      <c r="J245" s="112">
        <v>36996</v>
      </c>
      <c r="K245" s="112">
        <v>40942</v>
      </c>
      <c r="L245" s="112">
        <v>34647</v>
      </c>
      <c r="M245" s="112">
        <v>35679</v>
      </c>
      <c r="N245" s="112">
        <v>38239</v>
      </c>
      <c r="O245" s="112">
        <v>36456</v>
      </c>
      <c r="P245" s="112">
        <v>36302</v>
      </c>
      <c r="R245" s="111" t="s">
        <v>131</v>
      </c>
      <c r="S245" s="220">
        <v>6</v>
      </c>
      <c r="T245" s="220">
        <v>7.5</v>
      </c>
      <c r="U245" s="220">
        <v>6.7</v>
      </c>
      <c r="V245" s="220">
        <v>5.0999999999999996</v>
      </c>
      <c r="W245" s="220">
        <v>7.4</v>
      </c>
      <c r="X245" s="220">
        <v>7.3</v>
      </c>
      <c r="Y245" s="220">
        <v>6.3</v>
      </c>
      <c r="Z245" s="220">
        <v>7.9</v>
      </c>
      <c r="AA245" s="220">
        <v>5.7</v>
      </c>
      <c r="AC245" s="111" t="s">
        <v>131</v>
      </c>
      <c r="AD245" s="112">
        <f t="shared" si="254"/>
        <v>4248.3599999999997</v>
      </c>
      <c r="AE245" s="112">
        <f t="shared" si="235"/>
        <v>5290.2</v>
      </c>
      <c r="AF245" s="112">
        <f t="shared" si="236"/>
        <v>4957.4639999999999</v>
      </c>
      <c r="AG245" s="112">
        <f t="shared" si="237"/>
        <v>4176.0839999999998</v>
      </c>
      <c r="AH245" s="112">
        <f t="shared" si="238"/>
        <v>5127.7560000000003</v>
      </c>
      <c r="AI245" s="112">
        <f t="shared" si="239"/>
        <v>5209.134</v>
      </c>
      <c r="AJ245" s="112">
        <f t="shared" si="240"/>
        <v>4818.1139999999996</v>
      </c>
      <c r="AK245" s="112">
        <f t="shared" si="251"/>
        <v>5760.0480000000007</v>
      </c>
      <c r="AL245" s="112">
        <f t="shared" si="252"/>
        <v>4138.4279999999999</v>
      </c>
      <c r="AN245" s="111" t="s">
        <v>131</v>
      </c>
      <c r="AO245" s="113">
        <f t="shared" ref="AO245:AW245" si="262">H245/H241</f>
        <v>0.35026465495918874</v>
      </c>
      <c r="AP245" s="113">
        <f t="shared" si="262"/>
        <v>0.36263431186057271</v>
      </c>
      <c r="AQ245" s="113">
        <f t="shared" si="262"/>
        <v>0.38789632611977853</v>
      </c>
      <c r="AR245" s="113">
        <f t="shared" si="262"/>
        <v>0.44298017830866443</v>
      </c>
      <c r="AS245" s="113">
        <f t="shared" si="262"/>
        <v>0.38199558985667031</v>
      </c>
      <c r="AT245" s="113">
        <f t="shared" si="262"/>
        <v>0.39736493334372808</v>
      </c>
      <c r="AU245" s="113">
        <f t="shared" si="262"/>
        <v>0.44069886710691608</v>
      </c>
      <c r="AV245" s="113">
        <f t="shared" si="262"/>
        <v>0.48739271103505444</v>
      </c>
      <c r="AW245" s="113">
        <f t="shared" si="262"/>
        <v>0.50836017364514774</v>
      </c>
      <c r="AY245" s="111" t="s">
        <v>131</v>
      </c>
      <c r="AZ245" s="179">
        <f t="shared" si="242"/>
        <v>4.2031758595102643E-2</v>
      </c>
      <c r="BA245" s="179">
        <f t="shared" si="243"/>
        <v>5.4395146779085905E-2</v>
      </c>
      <c r="BB245" s="179">
        <f t="shared" si="244"/>
        <v>5.1978107700050326E-2</v>
      </c>
      <c r="BC245" s="179">
        <f t="shared" si="245"/>
        <v>4.5183978187483771E-2</v>
      </c>
      <c r="BD245" s="179">
        <f t="shared" si="246"/>
        <v>5.6535347298787203E-2</v>
      </c>
      <c r="BE245" s="179">
        <f t="shared" si="247"/>
        <v>5.8015280268184297E-2</v>
      </c>
      <c r="BF245" s="179">
        <f t="shared" si="248"/>
        <v>5.5528057255471427E-2</v>
      </c>
      <c r="BG245" s="179">
        <f t="shared" si="249"/>
        <v>7.700804834353861E-2</v>
      </c>
      <c r="BH245" s="179">
        <f t="shared" si="250"/>
        <v>5.7953059795546845E-2</v>
      </c>
    </row>
    <row r="246" spans="2:68" s="87" customFormat="1" x14ac:dyDescent="0.25">
      <c r="B246" s="84"/>
      <c r="C246" s="85"/>
      <c r="D246" s="85"/>
      <c r="E246" s="109" t="s">
        <v>2</v>
      </c>
      <c r="F246" s="110" t="s">
        <v>62</v>
      </c>
      <c r="G246" s="195" t="s">
        <v>7</v>
      </c>
      <c r="H246" s="69">
        <v>175291</v>
      </c>
      <c r="I246" s="69">
        <v>169477</v>
      </c>
      <c r="J246" s="69">
        <v>160803</v>
      </c>
      <c r="K246" s="69">
        <v>152813</v>
      </c>
      <c r="L246" s="69">
        <v>144550</v>
      </c>
      <c r="M246" s="69">
        <v>138095</v>
      </c>
      <c r="N246" s="69">
        <v>134859</v>
      </c>
      <c r="O246" s="69">
        <v>143901</v>
      </c>
      <c r="P246" s="69">
        <v>136614</v>
      </c>
      <c r="R246" s="195" t="s">
        <v>7</v>
      </c>
      <c r="S246" s="226">
        <v>1.1000000000000001</v>
      </c>
      <c r="T246" s="226">
        <v>1.3</v>
      </c>
      <c r="U246" s="226">
        <v>1.2</v>
      </c>
      <c r="V246" s="226">
        <v>1.1000000000000001</v>
      </c>
      <c r="W246" s="226">
        <v>1.3</v>
      </c>
      <c r="X246" s="226">
        <v>1.5</v>
      </c>
      <c r="Y246" s="226">
        <v>1.3</v>
      </c>
      <c r="Z246" s="226">
        <v>1.7</v>
      </c>
      <c r="AA246" s="226">
        <v>1.6</v>
      </c>
      <c r="AC246" s="195" t="s">
        <v>7</v>
      </c>
      <c r="AD246" s="69">
        <f t="shared" si="254"/>
        <v>3856.402</v>
      </c>
      <c r="AE246" s="69">
        <f t="shared" si="235"/>
        <v>4406.402</v>
      </c>
      <c r="AF246" s="69">
        <f t="shared" si="236"/>
        <v>3859.2719999999999</v>
      </c>
      <c r="AG246" s="69">
        <f t="shared" si="237"/>
        <v>3361.8860000000004</v>
      </c>
      <c r="AH246" s="69">
        <f t="shared" si="238"/>
        <v>3758.3</v>
      </c>
      <c r="AI246" s="69">
        <f t="shared" si="239"/>
        <v>4142.8500000000004</v>
      </c>
      <c r="AJ246" s="69">
        <f t="shared" si="240"/>
        <v>3506.3340000000003</v>
      </c>
      <c r="AK246" s="69">
        <f t="shared" si="251"/>
        <v>4892.634</v>
      </c>
      <c r="AL246" s="69">
        <f t="shared" si="252"/>
        <v>4371.6480000000001</v>
      </c>
      <c r="AN246" s="195" t="s">
        <v>7</v>
      </c>
      <c r="AO246" s="98">
        <f t="shared" ref="AO246:AW246" si="263">H246/H246</f>
        <v>1</v>
      </c>
      <c r="AP246" s="98">
        <f t="shared" si="263"/>
        <v>1</v>
      </c>
      <c r="AQ246" s="98">
        <f t="shared" si="263"/>
        <v>1</v>
      </c>
      <c r="AR246" s="98">
        <f t="shared" si="263"/>
        <v>1</v>
      </c>
      <c r="AS246" s="98">
        <f t="shared" si="263"/>
        <v>1</v>
      </c>
      <c r="AT246" s="98">
        <f t="shared" si="263"/>
        <v>1</v>
      </c>
      <c r="AU246" s="98">
        <f t="shared" si="263"/>
        <v>1</v>
      </c>
      <c r="AV246" s="98">
        <f t="shared" si="263"/>
        <v>1</v>
      </c>
      <c r="AW246" s="98">
        <f t="shared" si="263"/>
        <v>1</v>
      </c>
      <c r="AX246" s="191"/>
      <c r="AY246" s="195" t="s">
        <v>7</v>
      </c>
      <c r="AZ246" s="178">
        <f t="shared" si="242"/>
        <v>2.2000000000000002E-2</v>
      </c>
      <c r="BA246" s="178">
        <f t="shared" si="243"/>
        <v>2.6000000000000002E-2</v>
      </c>
      <c r="BB246" s="178">
        <f t="shared" si="244"/>
        <v>2.4E-2</v>
      </c>
      <c r="BC246" s="178">
        <f t="shared" si="245"/>
        <v>2.2000000000000002E-2</v>
      </c>
      <c r="BD246" s="178">
        <f t="shared" si="246"/>
        <v>2.6000000000000002E-2</v>
      </c>
      <c r="BE246" s="178">
        <f t="shared" si="247"/>
        <v>0.03</v>
      </c>
      <c r="BF246" s="178">
        <f t="shared" si="248"/>
        <v>2.6000000000000002E-2</v>
      </c>
      <c r="BG246" s="178">
        <f t="shared" si="249"/>
        <v>3.4000000000000002E-2</v>
      </c>
      <c r="BH246" s="178">
        <f t="shared" si="250"/>
        <v>3.2000000000000001E-2</v>
      </c>
      <c r="BI246" s="191"/>
      <c r="BJ246" s="191"/>
      <c r="BK246" s="191"/>
      <c r="BL246" s="191"/>
      <c r="BM246" s="191"/>
      <c r="BN246" s="191"/>
      <c r="BO246" s="191"/>
      <c r="BP246" s="191"/>
    </row>
    <row r="247" spans="2:68" s="108" customFormat="1" x14ac:dyDescent="0.25">
      <c r="B247" s="107"/>
      <c r="E247" s="109" t="s">
        <v>2</v>
      </c>
      <c r="F247" s="110" t="s">
        <v>62</v>
      </c>
      <c r="G247" s="111" t="s">
        <v>54</v>
      </c>
      <c r="H247" s="112">
        <v>58344</v>
      </c>
      <c r="I247" s="112">
        <v>55646</v>
      </c>
      <c r="J247" s="112">
        <v>48607</v>
      </c>
      <c r="K247" s="112">
        <v>49782</v>
      </c>
      <c r="L247" s="112">
        <v>41642</v>
      </c>
      <c r="M247" s="112">
        <v>36706</v>
      </c>
      <c r="N247" s="112">
        <v>38011</v>
      </c>
      <c r="O247" s="112">
        <v>31065</v>
      </c>
      <c r="P247" s="112">
        <v>25524</v>
      </c>
      <c r="R247" s="111" t="s">
        <v>54</v>
      </c>
      <c r="S247" s="220">
        <v>4.7</v>
      </c>
      <c r="T247" s="220">
        <v>5.6</v>
      </c>
      <c r="U247" s="220">
        <v>5.9</v>
      </c>
      <c r="V247" s="220">
        <v>5.2</v>
      </c>
      <c r="W247" s="220">
        <v>6.9</v>
      </c>
      <c r="X247" s="220">
        <v>7.9</v>
      </c>
      <c r="Y247" s="220">
        <v>8</v>
      </c>
      <c r="Z247" s="220">
        <v>9.8000000000000007</v>
      </c>
      <c r="AA247" s="220">
        <v>10.6</v>
      </c>
      <c r="AC247" s="111" t="s">
        <v>54</v>
      </c>
      <c r="AD247" s="112">
        <f t="shared" si="254"/>
        <v>5484.3359999999993</v>
      </c>
      <c r="AE247" s="112">
        <f t="shared" si="235"/>
        <v>6232.3519999999999</v>
      </c>
      <c r="AF247" s="112">
        <f t="shared" si="236"/>
        <v>5735.6260000000002</v>
      </c>
      <c r="AG247" s="112">
        <f t="shared" si="237"/>
        <v>5177.3280000000004</v>
      </c>
      <c r="AH247" s="112">
        <f t="shared" si="238"/>
        <v>5746.5959999999995</v>
      </c>
      <c r="AI247" s="112">
        <f t="shared" si="239"/>
        <v>5799.5480000000007</v>
      </c>
      <c r="AJ247" s="112">
        <f t="shared" si="240"/>
        <v>6081.76</v>
      </c>
      <c r="AK247" s="112">
        <f t="shared" si="251"/>
        <v>6088.74</v>
      </c>
      <c r="AL247" s="112">
        <f t="shared" si="252"/>
        <v>5411.0879999999997</v>
      </c>
      <c r="AN247" s="111" t="s">
        <v>54</v>
      </c>
      <c r="AO247" s="113">
        <f t="shared" ref="AO247:AW247" si="264">H247/H246</f>
        <v>0.3328408189810087</v>
      </c>
      <c r="AP247" s="113">
        <f t="shared" si="264"/>
        <v>0.32833953869846644</v>
      </c>
      <c r="AQ247" s="113">
        <f t="shared" si="264"/>
        <v>0.30227669881780811</v>
      </c>
      <c r="AR247" s="113">
        <f t="shared" si="264"/>
        <v>0.32577071322466022</v>
      </c>
      <c r="AS247" s="113">
        <f t="shared" si="264"/>
        <v>0.28808024904877205</v>
      </c>
      <c r="AT247" s="113">
        <f t="shared" si="264"/>
        <v>0.26580252724573661</v>
      </c>
      <c r="AU247" s="113">
        <f t="shared" si="264"/>
        <v>0.28185734730347994</v>
      </c>
      <c r="AV247" s="113">
        <f t="shared" si="264"/>
        <v>0.21587758250463859</v>
      </c>
      <c r="AW247" s="113">
        <f t="shared" si="264"/>
        <v>0.18683297465852694</v>
      </c>
      <c r="AY247" s="111" t="s">
        <v>54</v>
      </c>
      <c r="AZ247" s="179">
        <f t="shared" si="242"/>
        <v>3.1287036984214818E-2</v>
      </c>
      <c r="BA247" s="179">
        <f t="shared" si="243"/>
        <v>3.6774028334228243E-2</v>
      </c>
      <c r="BB247" s="179">
        <f t="shared" si="244"/>
        <v>3.5668650460501362E-2</v>
      </c>
      <c r="BC247" s="179">
        <f t="shared" si="245"/>
        <v>3.3880154175364663E-2</v>
      </c>
      <c r="BD247" s="179">
        <f t="shared" si="246"/>
        <v>3.9755074368730547E-2</v>
      </c>
      <c r="BE247" s="179">
        <f t="shared" si="247"/>
        <v>4.1996799304826381E-2</v>
      </c>
      <c r="BF247" s="179">
        <f t="shared" si="248"/>
        <v>4.5097175568556788E-2</v>
      </c>
      <c r="BG247" s="179">
        <f t="shared" si="249"/>
        <v>4.2312006170909161E-2</v>
      </c>
      <c r="BH247" s="179">
        <f t="shared" si="250"/>
        <v>3.9608590627607708E-2</v>
      </c>
    </row>
    <row r="248" spans="2:68" s="108" customFormat="1" x14ac:dyDescent="0.25">
      <c r="B248" s="107"/>
      <c r="E248" s="109" t="s">
        <v>2</v>
      </c>
      <c r="F248" s="110" t="s">
        <v>62</v>
      </c>
      <c r="G248" s="111" t="s">
        <v>55</v>
      </c>
      <c r="H248" s="70">
        <v>43080</v>
      </c>
      <c r="I248" s="70">
        <v>41841</v>
      </c>
      <c r="J248" s="70">
        <v>40955</v>
      </c>
      <c r="K248" s="70">
        <v>33082</v>
      </c>
      <c r="L248" s="70">
        <v>31169</v>
      </c>
      <c r="M248" s="70">
        <v>33002</v>
      </c>
      <c r="N248" s="70">
        <v>26343</v>
      </c>
      <c r="O248" s="112">
        <v>34789</v>
      </c>
      <c r="P248" s="112">
        <v>31284</v>
      </c>
      <c r="R248" s="111" t="s">
        <v>55</v>
      </c>
      <c r="S248" s="81">
        <v>5.7</v>
      </c>
      <c r="T248" s="81">
        <v>6.8</v>
      </c>
      <c r="U248" s="81">
        <v>6.5</v>
      </c>
      <c r="V248" s="81">
        <v>7.2</v>
      </c>
      <c r="W248" s="81">
        <v>7.6</v>
      </c>
      <c r="X248" s="81">
        <v>8.8000000000000007</v>
      </c>
      <c r="Y248" s="81">
        <v>9.4</v>
      </c>
      <c r="Z248" s="81">
        <v>9.8000000000000007</v>
      </c>
      <c r="AA248" s="81">
        <v>8.8000000000000007</v>
      </c>
      <c r="AC248" s="111" t="s">
        <v>55</v>
      </c>
      <c r="AD248" s="70">
        <f t="shared" si="254"/>
        <v>4911.12</v>
      </c>
      <c r="AE248" s="70">
        <f t="shared" si="235"/>
        <v>5690.3760000000002</v>
      </c>
      <c r="AF248" s="70">
        <f t="shared" si="236"/>
        <v>5324.15</v>
      </c>
      <c r="AG248" s="70">
        <f t="shared" si="237"/>
        <v>4763.808</v>
      </c>
      <c r="AH248" s="70">
        <f t="shared" si="238"/>
        <v>4737.6880000000001</v>
      </c>
      <c r="AI248" s="70">
        <f t="shared" si="239"/>
        <v>5808.3520000000008</v>
      </c>
      <c r="AJ248" s="70">
        <f t="shared" si="240"/>
        <v>4952.4840000000004</v>
      </c>
      <c r="AK248" s="70">
        <f t="shared" si="251"/>
        <v>6818.6440000000002</v>
      </c>
      <c r="AL248" s="70">
        <f t="shared" si="252"/>
        <v>5505.9840000000004</v>
      </c>
      <c r="AN248" s="111" t="s">
        <v>55</v>
      </c>
      <c r="AO248" s="113">
        <f t="shared" ref="AO248:AW248" si="265">H248/H246</f>
        <v>0.2457627602101648</v>
      </c>
      <c r="AP248" s="113">
        <f t="shared" si="265"/>
        <v>0.24688305787806014</v>
      </c>
      <c r="AQ248" s="113">
        <f t="shared" si="265"/>
        <v>0.25469052194299857</v>
      </c>
      <c r="AR248" s="113">
        <f t="shared" si="265"/>
        <v>0.21648681722104796</v>
      </c>
      <c r="AS248" s="113">
        <f t="shared" si="265"/>
        <v>0.21562781044621238</v>
      </c>
      <c r="AT248" s="113">
        <f t="shared" si="265"/>
        <v>0.23898041203519316</v>
      </c>
      <c r="AU248" s="113">
        <f t="shared" si="265"/>
        <v>0.19533735234578337</v>
      </c>
      <c r="AV248" s="113">
        <f t="shared" si="265"/>
        <v>0.2417564853614638</v>
      </c>
      <c r="AW248" s="113">
        <f t="shared" si="265"/>
        <v>0.2289955641442312</v>
      </c>
      <c r="AY248" s="111" t="s">
        <v>55</v>
      </c>
      <c r="AZ248" s="179">
        <f t="shared" si="242"/>
        <v>2.8016954663958787E-2</v>
      </c>
      <c r="BA248" s="179">
        <f t="shared" si="243"/>
        <v>3.3576095871416183E-2</v>
      </c>
      <c r="BB248" s="179">
        <f t="shared" si="244"/>
        <v>3.3109767852589816E-2</v>
      </c>
      <c r="BC248" s="179">
        <f t="shared" si="245"/>
        <v>3.1174101679830906E-2</v>
      </c>
      <c r="BD248" s="179">
        <f t="shared" si="246"/>
        <v>3.277542718782428E-2</v>
      </c>
      <c r="BE248" s="179">
        <f t="shared" si="247"/>
        <v>4.2060552518194003E-2</v>
      </c>
      <c r="BF248" s="179">
        <f t="shared" si="248"/>
        <v>3.6723422241007275E-2</v>
      </c>
      <c r="BG248" s="179">
        <f t="shared" si="249"/>
        <v>4.7384271130846908E-2</v>
      </c>
      <c r="BH248" s="179">
        <f t="shared" si="250"/>
        <v>4.0303219289384691E-2</v>
      </c>
    </row>
    <row r="249" spans="2:68" s="108" customFormat="1" x14ac:dyDescent="0.25">
      <c r="B249" s="107"/>
      <c r="E249" s="109" t="s">
        <v>2</v>
      </c>
      <c r="F249" s="110" t="s">
        <v>62</v>
      </c>
      <c r="G249" s="111" t="s">
        <v>130</v>
      </c>
      <c r="H249" s="70">
        <v>23141</v>
      </c>
      <c r="I249" s="70">
        <v>24689</v>
      </c>
      <c r="J249" s="70">
        <v>21490</v>
      </c>
      <c r="K249" s="70">
        <v>22995</v>
      </c>
      <c r="L249" s="70">
        <v>23353</v>
      </c>
      <c r="M249" s="70">
        <v>24948</v>
      </c>
      <c r="N249" s="70">
        <v>22067</v>
      </c>
      <c r="O249" s="112">
        <v>27309</v>
      </c>
      <c r="P249" s="112">
        <v>17376</v>
      </c>
      <c r="R249" s="111" t="s">
        <v>130</v>
      </c>
      <c r="S249" s="220">
        <v>8.6999999999999993</v>
      </c>
      <c r="T249" s="220">
        <v>9.3000000000000007</v>
      </c>
      <c r="U249" s="220">
        <v>9.8000000000000007</v>
      </c>
      <c r="V249" s="220">
        <v>8.6999999999999993</v>
      </c>
      <c r="W249" s="220">
        <v>9.4</v>
      </c>
      <c r="X249" s="220">
        <v>10.1</v>
      </c>
      <c r="Y249" s="220">
        <v>10.1</v>
      </c>
      <c r="Z249" s="220">
        <v>11.1</v>
      </c>
      <c r="AA249" s="220">
        <v>13.2</v>
      </c>
      <c r="AC249" s="111" t="s">
        <v>130</v>
      </c>
      <c r="AD249" s="70">
        <f t="shared" si="254"/>
        <v>4026.5339999999997</v>
      </c>
      <c r="AE249" s="70">
        <f t="shared" si="235"/>
        <v>4592.1540000000005</v>
      </c>
      <c r="AF249" s="70">
        <f t="shared" si="236"/>
        <v>4212.0400000000009</v>
      </c>
      <c r="AG249" s="70">
        <f t="shared" si="237"/>
        <v>4001.1299999999992</v>
      </c>
      <c r="AH249" s="70">
        <f t="shared" si="238"/>
        <v>4390.3640000000005</v>
      </c>
      <c r="AI249" s="70">
        <f t="shared" si="239"/>
        <v>5039.4960000000001</v>
      </c>
      <c r="AJ249" s="70">
        <f t="shared" si="240"/>
        <v>4457.5339999999997</v>
      </c>
      <c r="AK249" s="70">
        <f t="shared" si="251"/>
        <v>6062.597999999999</v>
      </c>
      <c r="AL249" s="70">
        <f t="shared" si="252"/>
        <v>4587.2639999999992</v>
      </c>
      <c r="AN249" s="111" t="s">
        <v>130</v>
      </c>
      <c r="AO249" s="113">
        <f t="shared" ref="AO249:AW249" si="266">H249/H246</f>
        <v>0.13201476402097084</v>
      </c>
      <c r="AP249" s="113">
        <f t="shared" si="266"/>
        <v>0.14567758456899757</v>
      </c>
      <c r="AQ249" s="113">
        <f t="shared" si="266"/>
        <v>0.13364178529007542</v>
      </c>
      <c r="AR249" s="113">
        <f t="shared" si="266"/>
        <v>0.15047803524569245</v>
      </c>
      <c r="AS249" s="113">
        <f t="shared" si="266"/>
        <v>0.16155655482531997</v>
      </c>
      <c r="AT249" s="113">
        <f t="shared" si="266"/>
        <v>0.18065824251421123</v>
      </c>
      <c r="AU249" s="113">
        <f t="shared" si="266"/>
        <v>0.16363016187277082</v>
      </c>
      <c r="AV249" s="113">
        <f t="shared" si="266"/>
        <v>0.18977630454270644</v>
      </c>
      <c r="AW249" s="113">
        <f t="shared" si="266"/>
        <v>0.12719047828187449</v>
      </c>
      <c r="AY249" s="111" t="s">
        <v>130</v>
      </c>
      <c r="AZ249" s="179">
        <f t="shared" si="242"/>
        <v>2.2970568939648925E-2</v>
      </c>
      <c r="BA249" s="179">
        <f t="shared" si="243"/>
        <v>2.7096030729833548E-2</v>
      </c>
      <c r="BB249" s="179">
        <f t="shared" si="244"/>
        <v>2.6193789916854785E-2</v>
      </c>
      <c r="BC249" s="179">
        <f t="shared" si="245"/>
        <v>2.6183178132750486E-2</v>
      </c>
      <c r="BD249" s="179">
        <f t="shared" si="246"/>
        <v>3.0372632307160155E-2</v>
      </c>
      <c r="BE249" s="179">
        <f t="shared" si="247"/>
        <v>3.6492964987870663E-2</v>
      </c>
      <c r="BF249" s="179">
        <f t="shared" si="248"/>
        <v>3.3053292698299701E-2</v>
      </c>
      <c r="BG249" s="179">
        <f t="shared" si="249"/>
        <v>4.2130339608480831E-2</v>
      </c>
      <c r="BH249" s="179">
        <f t="shared" si="250"/>
        <v>3.3578286266414861E-2</v>
      </c>
    </row>
    <row r="250" spans="2:68" s="108" customFormat="1" x14ac:dyDescent="0.25">
      <c r="B250" s="107"/>
      <c r="E250" s="109" t="s">
        <v>2</v>
      </c>
      <c r="F250" s="110" t="s">
        <v>62</v>
      </c>
      <c r="G250" s="111" t="s">
        <v>131</v>
      </c>
      <c r="H250" s="112">
        <v>50589</v>
      </c>
      <c r="I250" s="112">
        <v>46975</v>
      </c>
      <c r="J250" s="112">
        <v>49751</v>
      </c>
      <c r="K250" s="112">
        <v>46953</v>
      </c>
      <c r="L250" s="112">
        <v>48386</v>
      </c>
      <c r="M250" s="112">
        <v>43440</v>
      </c>
      <c r="N250" s="112">
        <v>48438</v>
      </c>
      <c r="O250" s="112">
        <v>50738</v>
      </c>
      <c r="P250" s="112">
        <v>62430</v>
      </c>
      <c r="R250" s="111" t="s">
        <v>131</v>
      </c>
      <c r="S250" s="220">
        <v>5.4</v>
      </c>
      <c r="T250" s="220">
        <v>6.4</v>
      </c>
      <c r="U250" s="220">
        <v>6.1</v>
      </c>
      <c r="V250" s="220">
        <v>5.2</v>
      </c>
      <c r="W250" s="220">
        <v>6.3</v>
      </c>
      <c r="X250" s="220">
        <v>7.1</v>
      </c>
      <c r="Y250" s="220">
        <v>6.2</v>
      </c>
      <c r="Z250" s="220">
        <v>6.9</v>
      </c>
      <c r="AA250" s="220">
        <v>5.2</v>
      </c>
      <c r="AC250" s="111" t="s">
        <v>131</v>
      </c>
      <c r="AD250" s="112">
        <f t="shared" si="254"/>
        <v>5463.612000000001</v>
      </c>
      <c r="AE250" s="112">
        <f t="shared" si="235"/>
        <v>6012.8</v>
      </c>
      <c r="AF250" s="112">
        <f t="shared" si="236"/>
        <v>6069.6219999999994</v>
      </c>
      <c r="AG250" s="112">
        <f t="shared" si="237"/>
        <v>4883.1120000000001</v>
      </c>
      <c r="AH250" s="112">
        <f t="shared" si="238"/>
        <v>6096.6359999999995</v>
      </c>
      <c r="AI250" s="112">
        <f t="shared" si="239"/>
        <v>6168.48</v>
      </c>
      <c r="AJ250" s="112">
        <f t="shared" si="240"/>
        <v>6006.3120000000008</v>
      </c>
      <c r="AK250" s="112">
        <f t="shared" si="251"/>
        <v>7001.8440000000001</v>
      </c>
      <c r="AL250" s="112">
        <f t="shared" si="252"/>
        <v>6492.72</v>
      </c>
      <c r="AN250" s="111" t="s">
        <v>131</v>
      </c>
      <c r="AO250" s="113">
        <f t="shared" ref="AO250:AW250" si="267">H250/H246</f>
        <v>0.28860009926351038</v>
      </c>
      <c r="AP250" s="113">
        <f t="shared" si="267"/>
        <v>0.2771762540049682</v>
      </c>
      <c r="AQ250" s="113">
        <f t="shared" si="267"/>
        <v>0.30939099394911784</v>
      </c>
      <c r="AR250" s="113">
        <f t="shared" si="267"/>
        <v>0.30725789036273093</v>
      </c>
      <c r="AS250" s="113">
        <f t="shared" si="267"/>
        <v>0.33473538567969563</v>
      </c>
      <c r="AT250" s="113">
        <f t="shared" si="267"/>
        <v>0.31456605959665446</v>
      </c>
      <c r="AU250" s="113">
        <f t="shared" si="267"/>
        <v>0.35917513847796589</v>
      </c>
      <c r="AV250" s="113">
        <f t="shared" si="267"/>
        <v>0.35258962759119117</v>
      </c>
      <c r="AW250" s="113">
        <f t="shared" si="267"/>
        <v>0.45698098291536737</v>
      </c>
      <c r="AY250" s="111" t="s">
        <v>131</v>
      </c>
      <c r="AZ250" s="179">
        <f t="shared" si="242"/>
        <v>3.1168810720459121E-2</v>
      </c>
      <c r="BA250" s="179">
        <f t="shared" si="243"/>
        <v>3.5478560512635933E-2</v>
      </c>
      <c r="BB250" s="179">
        <f t="shared" si="244"/>
        <v>3.7745701261792372E-2</v>
      </c>
      <c r="BC250" s="179">
        <f t="shared" si="245"/>
        <v>3.1954820597724018E-2</v>
      </c>
      <c r="BD250" s="179">
        <f t="shared" si="246"/>
        <v>4.2176658595641653E-2</v>
      </c>
      <c r="BE250" s="179">
        <f t="shared" si="247"/>
        <v>4.4668380462724935E-2</v>
      </c>
      <c r="BF250" s="179">
        <f t="shared" si="248"/>
        <v>4.4537717171267775E-2</v>
      </c>
      <c r="BG250" s="179">
        <f t="shared" si="249"/>
        <v>4.8657368607584385E-2</v>
      </c>
      <c r="BH250" s="179">
        <f t="shared" si="250"/>
        <v>4.7526022223198211E-2</v>
      </c>
    </row>
    <row r="251" spans="2:68" s="87" customFormat="1" x14ac:dyDescent="0.25">
      <c r="B251" s="84"/>
      <c r="C251" s="85"/>
      <c r="D251" s="85"/>
      <c r="E251" s="109" t="s">
        <v>3</v>
      </c>
      <c r="F251" s="110" t="s">
        <v>62</v>
      </c>
      <c r="G251" s="195" t="s">
        <v>7</v>
      </c>
      <c r="H251" s="69">
        <v>185716</v>
      </c>
      <c r="I251" s="69">
        <v>198689</v>
      </c>
      <c r="J251" s="69">
        <v>207749</v>
      </c>
      <c r="K251" s="69">
        <v>219510</v>
      </c>
      <c r="L251" s="69">
        <v>225458</v>
      </c>
      <c r="M251" s="69">
        <v>228732</v>
      </c>
      <c r="N251" s="69">
        <v>226210</v>
      </c>
      <c r="O251" s="69">
        <v>226388</v>
      </c>
      <c r="P251" s="69">
        <v>228251</v>
      </c>
      <c r="R251" s="195" t="s">
        <v>7</v>
      </c>
      <c r="S251" s="226">
        <v>1.1000000000000001</v>
      </c>
      <c r="T251" s="226">
        <v>3.5</v>
      </c>
      <c r="U251" s="226">
        <v>1.1000000000000001</v>
      </c>
      <c r="V251" s="226">
        <v>0.9</v>
      </c>
      <c r="W251" s="226">
        <v>1</v>
      </c>
      <c r="X251" s="226">
        <v>1.2</v>
      </c>
      <c r="Y251" s="226">
        <v>1</v>
      </c>
      <c r="Z251" s="226">
        <v>1.3</v>
      </c>
      <c r="AA251" s="226">
        <v>1.3</v>
      </c>
      <c r="AC251" s="195" t="s">
        <v>7</v>
      </c>
      <c r="AD251" s="69">
        <f t="shared" si="254"/>
        <v>4085.752</v>
      </c>
      <c r="AE251" s="69">
        <f t="shared" si="235"/>
        <v>13908.23</v>
      </c>
      <c r="AF251" s="69">
        <f t="shared" si="236"/>
        <v>4570.4780000000001</v>
      </c>
      <c r="AG251" s="69">
        <f t="shared" si="237"/>
        <v>3951.18</v>
      </c>
      <c r="AH251" s="69">
        <f t="shared" si="238"/>
        <v>4509.16</v>
      </c>
      <c r="AI251" s="69">
        <f t="shared" si="239"/>
        <v>5489.5679999999993</v>
      </c>
      <c r="AJ251" s="69">
        <f t="shared" si="240"/>
        <v>4524.2</v>
      </c>
      <c r="AK251" s="69">
        <f t="shared" si="251"/>
        <v>5886.0880000000006</v>
      </c>
      <c r="AL251" s="69">
        <f t="shared" si="252"/>
        <v>5934.5259999999998</v>
      </c>
      <c r="AN251" s="195" t="s">
        <v>7</v>
      </c>
      <c r="AO251" s="98">
        <f t="shared" ref="AO251:AW251" si="268">H251/H251</f>
        <v>1</v>
      </c>
      <c r="AP251" s="98">
        <f t="shared" si="268"/>
        <v>1</v>
      </c>
      <c r="AQ251" s="98">
        <f t="shared" si="268"/>
        <v>1</v>
      </c>
      <c r="AR251" s="98">
        <f t="shared" si="268"/>
        <v>1</v>
      </c>
      <c r="AS251" s="98">
        <f t="shared" si="268"/>
        <v>1</v>
      </c>
      <c r="AT251" s="98">
        <f t="shared" si="268"/>
        <v>1</v>
      </c>
      <c r="AU251" s="98">
        <f t="shared" si="268"/>
        <v>1</v>
      </c>
      <c r="AV251" s="98">
        <f t="shared" si="268"/>
        <v>1</v>
      </c>
      <c r="AW251" s="98">
        <f t="shared" si="268"/>
        <v>1</v>
      </c>
      <c r="AX251" s="191"/>
      <c r="AY251" s="195" t="s">
        <v>7</v>
      </c>
      <c r="AZ251" s="178">
        <f t="shared" si="242"/>
        <v>2.2000000000000002E-2</v>
      </c>
      <c r="BA251" s="178">
        <f t="shared" si="243"/>
        <v>7.0000000000000007E-2</v>
      </c>
      <c r="BB251" s="178">
        <f t="shared" si="244"/>
        <v>2.2000000000000002E-2</v>
      </c>
      <c r="BC251" s="178">
        <f t="shared" si="245"/>
        <v>1.8000000000000002E-2</v>
      </c>
      <c r="BD251" s="178">
        <f t="shared" si="246"/>
        <v>0.02</v>
      </c>
      <c r="BE251" s="178">
        <f t="shared" si="247"/>
        <v>2.4E-2</v>
      </c>
      <c r="BF251" s="178">
        <f t="shared" si="248"/>
        <v>0.02</v>
      </c>
      <c r="BG251" s="178">
        <f t="shared" si="249"/>
        <v>2.6000000000000002E-2</v>
      </c>
      <c r="BH251" s="178">
        <f t="shared" si="250"/>
        <v>2.6000000000000002E-2</v>
      </c>
      <c r="BI251" s="191"/>
      <c r="BJ251" s="191"/>
      <c r="BK251" s="191"/>
      <c r="BL251" s="191"/>
      <c r="BM251" s="191"/>
      <c r="BN251" s="191"/>
      <c r="BO251" s="191"/>
      <c r="BP251" s="191"/>
    </row>
    <row r="252" spans="2:68" s="108" customFormat="1" x14ac:dyDescent="0.25">
      <c r="B252" s="107"/>
      <c r="E252" s="109" t="s">
        <v>3</v>
      </c>
      <c r="F252" s="110" t="s">
        <v>62</v>
      </c>
      <c r="G252" s="111" t="s">
        <v>54</v>
      </c>
      <c r="H252" s="112">
        <v>48150</v>
      </c>
      <c r="I252" s="112">
        <v>51441</v>
      </c>
      <c r="J252" s="112">
        <v>47457</v>
      </c>
      <c r="K252" s="112">
        <v>54243</v>
      </c>
      <c r="L252" s="112">
        <v>53186</v>
      </c>
      <c r="M252" s="112">
        <v>59072</v>
      </c>
      <c r="N252" s="112">
        <v>54567</v>
      </c>
      <c r="O252" s="112">
        <v>43754</v>
      </c>
      <c r="P252" s="112">
        <v>34297</v>
      </c>
      <c r="R252" s="111" t="s">
        <v>54</v>
      </c>
      <c r="S252" s="220">
        <v>5.7</v>
      </c>
      <c r="T252" s="220">
        <v>5.8</v>
      </c>
      <c r="U252" s="220">
        <v>6.1</v>
      </c>
      <c r="V252" s="220">
        <v>5.7</v>
      </c>
      <c r="W252" s="220">
        <v>6.3</v>
      </c>
      <c r="X252" s="220">
        <v>6.3</v>
      </c>
      <c r="Y252" s="220">
        <v>6.2</v>
      </c>
      <c r="Z252" s="220">
        <v>8.8000000000000007</v>
      </c>
      <c r="AA252" s="220">
        <v>9.6999999999999993</v>
      </c>
      <c r="AC252" s="111" t="s">
        <v>54</v>
      </c>
      <c r="AD252" s="112">
        <f t="shared" si="254"/>
        <v>5489.1</v>
      </c>
      <c r="AE252" s="112">
        <f t="shared" si="235"/>
        <v>5967.1559999999999</v>
      </c>
      <c r="AF252" s="112">
        <f t="shared" si="236"/>
        <v>5789.7539999999999</v>
      </c>
      <c r="AG252" s="112">
        <f t="shared" si="237"/>
        <v>6183.7020000000011</v>
      </c>
      <c r="AH252" s="112">
        <f t="shared" si="238"/>
        <v>6701.4359999999997</v>
      </c>
      <c r="AI252" s="112">
        <f t="shared" si="239"/>
        <v>7443.0719999999992</v>
      </c>
      <c r="AJ252" s="112">
        <f t="shared" si="240"/>
        <v>6766.3080000000009</v>
      </c>
      <c r="AK252" s="112">
        <f t="shared" si="251"/>
        <v>7700.7040000000006</v>
      </c>
      <c r="AL252" s="112">
        <f t="shared" si="252"/>
        <v>6653.6179999999995</v>
      </c>
      <c r="AN252" s="111" t="s">
        <v>54</v>
      </c>
      <c r="AO252" s="113">
        <f t="shared" ref="AO252:AW252" si="269">H252/H251</f>
        <v>0.25926683753688429</v>
      </c>
      <c r="AP252" s="113">
        <f t="shared" si="269"/>
        <v>0.2589021032870466</v>
      </c>
      <c r="AQ252" s="113">
        <f t="shared" si="269"/>
        <v>0.22843431255986793</v>
      </c>
      <c r="AR252" s="113">
        <f t="shared" si="269"/>
        <v>0.24710947109471096</v>
      </c>
      <c r="AS252" s="113">
        <f t="shared" si="269"/>
        <v>0.23590203053340311</v>
      </c>
      <c r="AT252" s="113">
        <f t="shared" si="269"/>
        <v>0.25825857335222008</v>
      </c>
      <c r="AU252" s="113">
        <f t="shared" si="269"/>
        <v>0.2412227576146059</v>
      </c>
      <c r="AV252" s="113">
        <f t="shared" si="269"/>
        <v>0.19326996130536955</v>
      </c>
      <c r="AW252" s="113">
        <f t="shared" si="269"/>
        <v>0.15026002076661218</v>
      </c>
      <c r="AY252" s="111" t="s">
        <v>54</v>
      </c>
      <c r="AZ252" s="179">
        <f t="shared" si="242"/>
        <v>2.9556419479204812E-2</v>
      </c>
      <c r="BA252" s="179">
        <f t="shared" si="243"/>
        <v>3.0032643981297406E-2</v>
      </c>
      <c r="BB252" s="179">
        <f t="shared" si="244"/>
        <v>2.7868986132303885E-2</v>
      </c>
      <c r="BC252" s="179">
        <f t="shared" si="245"/>
        <v>2.8170479704797052E-2</v>
      </c>
      <c r="BD252" s="179">
        <f t="shared" si="246"/>
        <v>2.9723655847208791E-2</v>
      </c>
      <c r="BE252" s="179">
        <f t="shared" si="247"/>
        <v>3.2540580242379734E-2</v>
      </c>
      <c r="BF252" s="179">
        <f t="shared" si="248"/>
        <v>2.9911621944211132E-2</v>
      </c>
      <c r="BG252" s="179">
        <f t="shared" si="249"/>
        <v>3.4015513189745043E-2</v>
      </c>
      <c r="BH252" s="179">
        <f t="shared" si="250"/>
        <v>2.9150444028722758E-2</v>
      </c>
    </row>
    <row r="253" spans="2:68" s="108" customFormat="1" x14ac:dyDescent="0.25">
      <c r="B253" s="107"/>
      <c r="E253" s="109" t="s">
        <v>3</v>
      </c>
      <c r="F253" s="110" t="s">
        <v>62</v>
      </c>
      <c r="G253" s="111" t="s">
        <v>55</v>
      </c>
      <c r="H253" s="70">
        <v>71977</v>
      </c>
      <c r="I253" s="70">
        <v>77827</v>
      </c>
      <c r="J253" s="112">
        <v>88853</v>
      </c>
      <c r="K253" s="112">
        <v>87295</v>
      </c>
      <c r="L253" s="112">
        <v>81191</v>
      </c>
      <c r="M253" s="112">
        <v>89919</v>
      </c>
      <c r="N253" s="112">
        <v>86391</v>
      </c>
      <c r="O253" s="112">
        <v>85085</v>
      </c>
      <c r="P253" s="112">
        <v>80355</v>
      </c>
      <c r="R253" s="111" t="s">
        <v>55</v>
      </c>
      <c r="S253" s="81">
        <v>4.2</v>
      </c>
      <c r="T253" s="81">
        <v>4.5999999999999996</v>
      </c>
      <c r="U253" s="81">
        <v>4</v>
      </c>
      <c r="V253" s="81">
        <v>3.7</v>
      </c>
      <c r="W253" s="81">
        <v>4.7</v>
      </c>
      <c r="X253" s="81">
        <v>4.5999999999999996</v>
      </c>
      <c r="Y253" s="81">
        <v>4.5</v>
      </c>
      <c r="Z253" s="81">
        <v>5.3</v>
      </c>
      <c r="AA253" s="81">
        <v>5.4</v>
      </c>
      <c r="AC253" s="111" t="s">
        <v>55</v>
      </c>
      <c r="AD253" s="70">
        <f t="shared" si="254"/>
        <v>6046.0680000000002</v>
      </c>
      <c r="AE253" s="70">
        <f t="shared" si="235"/>
        <v>7160.0839999999989</v>
      </c>
      <c r="AF253" s="70">
        <f t="shared" si="236"/>
        <v>7108.24</v>
      </c>
      <c r="AG253" s="70">
        <f t="shared" si="237"/>
        <v>6459.83</v>
      </c>
      <c r="AH253" s="70">
        <f t="shared" si="238"/>
        <v>7631.9540000000006</v>
      </c>
      <c r="AI253" s="70">
        <f t="shared" si="239"/>
        <v>8272.5479999999989</v>
      </c>
      <c r="AJ253" s="70">
        <f t="shared" si="240"/>
        <v>7775.19</v>
      </c>
      <c r="AK253" s="70">
        <f t="shared" si="251"/>
        <v>9019.01</v>
      </c>
      <c r="AL253" s="70">
        <f t="shared" si="252"/>
        <v>8678.34</v>
      </c>
      <c r="AN253" s="111" t="s">
        <v>55</v>
      </c>
      <c r="AO253" s="113">
        <f t="shared" ref="AO253:AW253" si="270">H253/H251</f>
        <v>0.38756488401645522</v>
      </c>
      <c r="AP253" s="113">
        <f t="shared" si="270"/>
        <v>0.39170261061256534</v>
      </c>
      <c r="AQ253" s="113">
        <f t="shared" si="270"/>
        <v>0.42769399612031828</v>
      </c>
      <c r="AR253" s="113">
        <f t="shared" si="270"/>
        <v>0.39768119903421256</v>
      </c>
      <c r="AS253" s="113">
        <f t="shared" si="270"/>
        <v>0.36011585306354177</v>
      </c>
      <c r="AT253" s="113">
        <f t="shared" si="270"/>
        <v>0.3931194585803473</v>
      </c>
      <c r="AU253" s="113">
        <f t="shared" si="270"/>
        <v>0.38190619336015208</v>
      </c>
      <c r="AV253" s="113">
        <f t="shared" si="270"/>
        <v>0.37583705850133398</v>
      </c>
      <c r="AW253" s="113">
        <f t="shared" si="270"/>
        <v>0.35204665039802674</v>
      </c>
      <c r="AY253" s="111" t="s">
        <v>55</v>
      </c>
      <c r="AZ253" s="179">
        <f t="shared" si="242"/>
        <v>3.255545025738224E-2</v>
      </c>
      <c r="BA253" s="179">
        <f t="shared" si="243"/>
        <v>3.6036640176356008E-2</v>
      </c>
      <c r="BB253" s="179">
        <f t="shared" si="244"/>
        <v>3.4215519689625461E-2</v>
      </c>
      <c r="BC253" s="179">
        <f t="shared" si="245"/>
        <v>2.9428408728531731E-2</v>
      </c>
      <c r="BD253" s="179">
        <f t="shared" si="246"/>
        <v>3.385089018797293E-2</v>
      </c>
      <c r="BE253" s="179">
        <f t="shared" si="247"/>
        <v>3.616699018939195E-2</v>
      </c>
      <c r="BF253" s="179">
        <f t="shared" si="248"/>
        <v>3.437155740241369E-2</v>
      </c>
      <c r="BG253" s="179">
        <f t="shared" si="249"/>
        <v>3.9838728201141399E-2</v>
      </c>
      <c r="BH253" s="179">
        <f t="shared" si="250"/>
        <v>3.8021038242986888E-2</v>
      </c>
    </row>
    <row r="254" spans="2:68" s="108" customFormat="1" x14ac:dyDescent="0.25">
      <c r="B254" s="107"/>
      <c r="E254" s="109" t="s">
        <v>3</v>
      </c>
      <c r="F254" s="110" t="s">
        <v>62</v>
      </c>
      <c r="G254" s="111" t="s">
        <v>130</v>
      </c>
      <c r="H254" s="70">
        <v>21907</v>
      </c>
      <c r="I254" s="70">
        <v>25181</v>
      </c>
      <c r="J254" s="70">
        <v>20901</v>
      </c>
      <c r="K254" s="70">
        <v>23527</v>
      </c>
      <c r="L254" s="70">
        <v>29449</v>
      </c>
      <c r="M254" s="70">
        <v>26764</v>
      </c>
      <c r="N254" s="70">
        <v>31575</v>
      </c>
      <c r="O254" s="112">
        <v>27685</v>
      </c>
      <c r="P254" s="112">
        <v>35051</v>
      </c>
      <c r="R254" s="111" t="s">
        <v>130</v>
      </c>
      <c r="S254" s="220">
        <v>9.1</v>
      </c>
      <c r="T254" s="220">
        <v>9.4</v>
      </c>
      <c r="U254" s="220">
        <v>10</v>
      </c>
      <c r="V254" s="220">
        <v>8.9</v>
      </c>
      <c r="W254" s="220">
        <v>9.5</v>
      </c>
      <c r="X254" s="220">
        <v>9.9</v>
      </c>
      <c r="Y254" s="220">
        <v>8.1999999999999993</v>
      </c>
      <c r="Z254" s="220">
        <v>11.4</v>
      </c>
      <c r="AA254" s="220">
        <v>9.6999999999999993</v>
      </c>
      <c r="AC254" s="111" t="s">
        <v>130</v>
      </c>
      <c r="AD254" s="70">
        <f t="shared" si="254"/>
        <v>3987.0739999999996</v>
      </c>
      <c r="AE254" s="70">
        <f t="shared" si="235"/>
        <v>4734.0280000000002</v>
      </c>
      <c r="AF254" s="70">
        <f t="shared" si="236"/>
        <v>4180.2</v>
      </c>
      <c r="AG254" s="70">
        <f t="shared" si="237"/>
        <v>4187.8060000000005</v>
      </c>
      <c r="AH254" s="70">
        <f t="shared" si="238"/>
        <v>5595.31</v>
      </c>
      <c r="AI254" s="70">
        <f t="shared" si="239"/>
        <v>5299.2720000000008</v>
      </c>
      <c r="AJ254" s="70">
        <f t="shared" si="240"/>
        <v>5178.2999999999993</v>
      </c>
      <c r="AK254" s="70">
        <f t="shared" si="251"/>
        <v>6312.18</v>
      </c>
      <c r="AL254" s="70">
        <f t="shared" si="252"/>
        <v>6799.8939999999993</v>
      </c>
      <c r="AN254" s="111" t="s">
        <v>130</v>
      </c>
      <c r="AO254" s="113">
        <f t="shared" ref="AO254:AW254" si="271">H254/H251</f>
        <v>0.11795968037218119</v>
      </c>
      <c r="AP254" s="113">
        <f t="shared" si="271"/>
        <v>0.12673575285999727</v>
      </c>
      <c r="AQ254" s="113">
        <f t="shared" si="271"/>
        <v>0.1006069824644162</v>
      </c>
      <c r="AR254" s="113">
        <f t="shared" si="271"/>
        <v>0.10717962735182908</v>
      </c>
      <c r="AS254" s="113">
        <f t="shared" si="271"/>
        <v>0.13061856310266215</v>
      </c>
      <c r="AT254" s="113">
        <f t="shared" si="271"/>
        <v>0.11701030026406449</v>
      </c>
      <c r="AU254" s="113">
        <f t="shared" si="271"/>
        <v>0.13958268865213738</v>
      </c>
      <c r="AV254" s="113">
        <f t="shared" si="271"/>
        <v>0.12229005070940156</v>
      </c>
      <c r="AW254" s="113">
        <f t="shared" si="271"/>
        <v>0.15356340169374944</v>
      </c>
      <c r="AY254" s="111" t="s">
        <v>130</v>
      </c>
      <c r="AZ254" s="179">
        <f t="shared" si="242"/>
        <v>2.1468661827736976E-2</v>
      </c>
      <c r="BA254" s="179">
        <f t="shared" si="243"/>
        <v>2.3826321537679485E-2</v>
      </c>
      <c r="BB254" s="179">
        <f t="shared" si="244"/>
        <v>2.0121396492883237E-2</v>
      </c>
      <c r="BC254" s="179">
        <f t="shared" si="245"/>
        <v>1.9077973668625577E-2</v>
      </c>
      <c r="BD254" s="179">
        <f t="shared" si="246"/>
        <v>2.4817526989505807E-2</v>
      </c>
      <c r="BE254" s="179">
        <f t="shared" si="247"/>
        <v>2.316803945228477E-2</v>
      </c>
      <c r="BF254" s="179">
        <f t="shared" si="248"/>
        <v>2.2891560938950527E-2</v>
      </c>
      <c r="BG254" s="179">
        <f t="shared" si="249"/>
        <v>2.7882131561743555E-2</v>
      </c>
      <c r="BH254" s="179">
        <f t="shared" si="250"/>
        <v>2.9791299928587388E-2</v>
      </c>
    </row>
    <row r="255" spans="2:68" s="108" customFormat="1" x14ac:dyDescent="0.25">
      <c r="B255" s="107"/>
      <c r="E255" s="109" t="s">
        <v>3</v>
      </c>
      <c r="F255" s="110" t="s">
        <v>62</v>
      </c>
      <c r="G255" s="111" t="s">
        <v>131</v>
      </c>
      <c r="H255" s="112">
        <v>43682</v>
      </c>
      <c r="I255" s="112">
        <v>44240</v>
      </c>
      <c r="J255" s="112">
        <v>50538</v>
      </c>
      <c r="K255" s="112">
        <v>53983</v>
      </c>
      <c r="L255" s="112">
        <v>61632</v>
      </c>
      <c r="M255" s="112">
        <v>52977</v>
      </c>
      <c r="N255" s="112">
        <v>53676</v>
      </c>
      <c r="O255" s="112">
        <v>69864</v>
      </c>
      <c r="P255" s="112">
        <v>78548</v>
      </c>
      <c r="R255" s="111" t="s">
        <v>131</v>
      </c>
      <c r="S255" s="220">
        <v>6.2</v>
      </c>
      <c r="T255" s="220">
        <v>7</v>
      </c>
      <c r="U255" s="220">
        <v>6</v>
      </c>
      <c r="V255" s="220">
        <v>5.4</v>
      </c>
      <c r="W255" s="220">
        <v>5.6</v>
      </c>
      <c r="X255" s="220">
        <v>6.6</v>
      </c>
      <c r="Y255" s="220">
        <v>6.5</v>
      </c>
      <c r="Z255" s="220">
        <v>6.2</v>
      </c>
      <c r="AA255" s="220">
        <v>5.5</v>
      </c>
      <c r="AC255" s="111" t="s">
        <v>131</v>
      </c>
      <c r="AD255" s="112">
        <f t="shared" si="254"/>
        <v>5416.5680000000002</v>
      </c>
      <c r="AE255" s="112">
        <f t="shared" si="235"/>
        <v>6193.6</v>
      </c>
      <c r="AF255" s="112">
        <f t="shared" si="236"/>
        <v>6064.56</v>
      </c>
      <c r="AG255" s="112">
        <f t="shared" si="237"/>
        <v>5830.1640000000007</v>
      </c>
      <c r="AH255" s="112">
        <f t="shared" si="238"/>
        <v>6902.7839999999987</v>
      </c>
      <c r="AI255" s="112">
        <f t="shared" si="239"/>
        <v>6992.963999999999</v>
      </c>
      <c r="AJ255" s="112">
        <f t="shared" si="240"/>
        <v>6977.88</v>
      </c>
      <c r="AK255" s="112">
        <f t="shared" si="251"/>
        <v>8663.1360000000004</v>
      </c>
      <c r="AL255" s="112">
        <f t="shared" si="252"/>
        <v>8640.2800000000007</v>
      </c>
      <c r="AN255" s="111" t="s">
        <v>131</v>
      </c>
      <c r="AO255" s="113">
        <f t="shared" ref="AO255:AW255" si="272">H255/H251</f>
        <v>0.2352085980744793</v>
      </c>
      <c r="AP255" s="113">
        <f t="shared" si="272"/>
        <v>0.22265953324039076</v>
      </c>
      <c r="AQ255" s="113">
        <f t="shared" si="272"/>
        <v>0.24326470885539761</v>
      </c>
      <c r="AR255" s="113">
        <f t="shared" si="272"/>
        <v>0.24592501480570361</v>
      </c>
      <c r="AS255" s="113">
        <f t="shared" si="272"/>
        <v>0.27336355330039297</v>
      </c>
      <c r="AT255" s="113">
        <f t="shared" si="272"/>
        <v>0.23161166780336814</v>
      </c>
      <c r="AU255" s="113">
        <f t="shared" si="272"/>
        <v>0.23728393970204678</v>
      </c>
      <c r="AV255" s="113">
        <f t="shared" si="272"/>
        <v>0.30860292948389489</v>
      </c>
      <c r="AW255" s="113">
        <f t="shared" si="272"/>
        <v>0.34412992714161167</v>
      </c>
      <c r="AY255" s="111" t="s">
        <v>131</v>
      </c>
      <c r="AZ255" s="179">
        <f t="shared" si="242"/>
        <v>2.9165866161235433E-2</v>
      </c>
      <c r="BA255" s="179">
        <f t="shared" si="243"/>
        <v>3.1172334653654706E-2</v>
      </c>
      <c r="BB255" s="179">
        <f t="shared" si="244"/>
        <v>2.9191765062647711E-2</v>
      </c>
      <c r="BC255" s="179">
        <f t="shared" si="245"/>
        <v>2.655990159901599E-2</v>
      </c>
      <c r="BD255" s="179">
        <f t="shared" si="246"/>
        <v>3.0616717969644013E-2</v>
      </c>
      <c r="BE255" s="179">
        <f t="shared" si="247"/>
        <v>3.0572740150044596E-2</v>
      </c>
      <c r="BF255" s="179">
        <f t="shared" si="248"/>
        <v>3.0846912161266081E-2</v>
      </c>
      <c r="BG255" s="179">
        <f t="shared" si="249"/>
        <v>3.8266763256002971E-2</v>
      </c>
      <c r="BH255" s="179">
        <f t="shared" si="250"/>
        <v>3.7854291985577285E-2</v>
      </c>
    </row>
    <row r="256" spans="2:68" s="87" customFormat="1" x14ac:dyDescent="0.25">
      <c r="B256" s="84"/>
      <c r="C256" s="85"/>
      <c r="D256" s="85"/>
      <c r="E256" s="109" t="s">
        <v>45</v>
      </c>
      <c r="F256" s="110" t="s">
        <v>62</v>
      </c>
      <c r="G256" s="195" t="s">
        <v>7</v>
      </c>
      <c r="H256" s="69">
        <v>92225</v>
      </c>
      <c r="I256" s="69">
        <v>92532</v>
      </c>
      <c r="J256" s="69">
        <v>97590</v>
      </c>
      <c r="K256" s="69">
        <v>102593</v>
      </c>
      <c r="L256" s="69">
        <v>108999</v>
      </c>
      <c r="M256" s="69">
        <v>117409</v>
      </c>
      <c r="N256" s="69">
        <v>126544</v>
      </c>
      <c r="O256" s="69">
        <v>137047</v>
      </c>
      <c r="P256" s="69">
        <v>145516</v>
      </c>
      <c r="Q256" s="108"/>
      <c r="R256" s="195" t="s">
        <v>7</v>
      </c>
      <c r="S256" s="226">
        <v>1.5</v>
      </c>
      <c r="T256" s="226">
        <v>1.6</v>
      </c>
      <c r="U256" s="226">
        <v>1.5</v>
      </c>
      <c r="V256" s="226">
        <v>1.4</v>
      </c>
      <c r="W256" s="226">
        <v>1.4</v>
      </c>
      <c r="X256" s="226">
        <v>1.5</v>
      </c>
      <c r="Y256" s="226">
        <v>1.3</v>
      </c>
      <c r="Z256" s="226">
        <v>1.7</v>
      </c>
      <c r="AA256" s="226">
        <v>1.6</v>
      </c>
      <c r="AC256" s="195" t="s">
        <v>7</v>
      </c>
      <c r="AD256" s="69">
        <f t="shared" si="254"/>
        <v>2766.75</v>
      </c>
      <c r="AE256" s="69">
        <f t="shared" si="235"/>
        <v>2961.0240000000003</v>
      </c>
      <c r="AF256" s="69">
        <f t="shared" si="236"/>
        <v>2927.7</v>
      </c>
      <c r="AG256" s="69">
        <f t="shared" si="237"/>
        <v>2872.6039999999998</v>
      </c>
      <c r="AH256" s="69">
        <f t="shared" si="238"/>
        <v>3051.9719999999998</v>
      </c>
      <c r="AI256" s="69">
        <f t="shared" si="239"/>
        <v>3522.27</v>
      </c>
      <c r="AJ256" s="69">
        <f t="shared" si="240"/>
        <v>3290.1440000000002</v>
      </c>
      <c r="AK256" s="69">
        <f t="shared" si="251"/>
        <v>4659.598</v>
      </c>
      <c r="AL256" s="69">
        <f t="shared" si="252"/>
        <v>4656.5119999999997</v>
      </c>
      <c r="AN256" s="195" t="s">
        <v>7</v>
      </c>
      <c r="AO256" s="98">
        <f t="shared" ref="AO256:AW256" si="273">H256/H256</f>
        <v>1</v>
      </c>
      <c r="AP256" s="98">
        <f t="shared" si="273"/>
        <v>1</v>
      </c>
      <c r="AQ256" s="98">
        <f t="shared" si="273"/>
        <v>1</v>
      </c>
      <c r="AR256" s="98">
        <f t="shared" si="273"/>
        <v>1</v>
      </c>
      <c r="AS256" s="98">
        <f t="shared" si="273"/>
        <v>1</v>
      </c>
      <c r="AT256" s="98">
        <f t="shared" si="273"/>
        <v>1</v>
      </c>
      <c r="AU256" s="98">
        <f t="shared" si="273"/>
        <v>1</v>
      </c>
      <c r="AV256" s="98">
        <f t="shared" si="273"/>
        <v>1</v>
      </c>
      <c r="AW256" s="98">
        <f t="shared" si="273"/>
        <v>1</v>
      </c>
      <c r="AX256" s="191"/>
      <c r="AY256" s="195" t="s">
        <v>7</v>
      </c>
      <c r="AZ256" s="178">
        <f t="shared" si="242"/>
        <v>0.03</v>
      </c>
      <c r="BA256" s="178">
        <f t="shared" si="243"/>
        <v>3.2000000000000001E-2</v>
      </c>
      <c r="BB256" s="178">
        <f t="shared" si="244"/>
        <v>0.03</v>
      </c>
      <c r="BC256" s="178">
        <f t="shared" si="245"/>
        <v>2.7999999999999997E-2</v>
      </c>
      <c r="BD256" s="178">
        <f t="shared" si="246"/>
        <v>2.7999999999999997E-2</v>
      </c>
      <c r="BE256" s="178">
        <f t="shared" si="247"/>
        <v>0.03</v>
      </c>
      <c r="BF256" s="178">
        <f t="shared" si="248"/>
        <v>2.6000000000000002E-2</v>
      </c>
      <c r="BG256" s="178">
        <f t="shared" si="249"/>
        <v>3.4000000000000002E-2</v>
      </c>
      <c r="BH256" s="178">
        <f t="shared" si="250"/>
        <v>3.2000000000000001E-2</v>
      </c>
      <c r="BI256" s="191"/>
      <c r="BJ256" s="191"/>
      <c r="BK256" s="191"/>
      <c r="BL256" s="191"/>
      <c r="BM256" s="191"/>
      <c r="BN256" s="191"/>
      <c r="BO256" s="191"/>
      <c r="BP256" s="191"/>
    </row>
    <row r="257" spans="2:68" s="108" customFormat="1" x14ac:dyDescent="0.25">
      <c r="B257" s="107"/>
      <c r="E257" s="109" t="s">
        <v>45</v>
      </c>
      <c r="F257" s="110" t="s">
        <v>62</v>
      </c>
      <c r="G257" s="111" t="s">
        <v>54</v>
      </c>
      <c r="H257" s="112">
        <v>11361</v>
      </c>
      <c r="I257" s="112">
        <v>9973</v>
      </c>
      <c r="J257" s="112">
        <v>9414</v>
      </c>
      <c r="K257" s="112">
        <v>10549</v>
      </c>
      <c r="L257" s="112">
        <v>11057</v>
      </c>
      <c r="M257" s="112">
        <v>13029</v>
      </c>
      <c r="N257" s="112">
        <v>14098</v>
      </c>
      <c r="O257" s="112">
        <v>14053</v>
      </c>
      <c r="P257" s="112">
        <v>13404</v>
      </c>
      <c r="R257" s="111" t="s">
        <v>54</v>
      </c>
      <c r="S257" s="220">
        <v>12.5</v>
      </c>
      <c r="T257" s="220">
        <v>15.6</v>
      </c>
      <c r="U257" s="220">
        <v>15</v>
      </c>
      <c r="V257" s="220">
        <v>13.2</v>
      </c>
      <c r="W257" s="220">
        <v>14.4</v>
      </c>
      <c r="X257" s="220">
        <v>14.2</v>
      </c>
      <c r="Y257" s="220">
        <v>13</v>
      </c>
      <c r="Z257" s="220">
        <v>15.3</v>
      </c>
      <c r="AA257" s="220">
        <v>15.5</v>
      </c>
      <c r="AC257" s="111" t="s">
        <v>54</v>
      </c>
      <c r="AD257" s="112">
        <f t="shared" si="254"/>
        <v>2840.25</v>
      </c>
      <c r="AE257" s="112">
        <f t="shared" si="235"/>
        <v>3111.5759999999996</v>
      </c>
      <c r="AF257" s="112">
        <f t="shared" si="236"/>
        <v>2824.2</v>
      </c>
      <c r="AG257" s="112">
        <f t="shared" si="237"/>
        <v>2784.9359999999997</v>
      </c>
      <c r="AH257" s="112">
        <f t="shared" si="238"/>
        <v>3184.4160000000002</v>
      </c>
      <c r="AI257" s="112">
        <f t="shared" si="239"/>
        <v>3700.2359999999999</v>
      </c>
      <c r="AJ257" s="112">
        <f t="shared" si="240"/>
        <v>3665.48</v>
      </c>
      <c r="AK257" s="112">
        <f t="shared" si="251"/>
        <v>4300.2180000000008</v>
      </c>
      <c r="AL257" s="112">
        <f t="shared" si="252"/>
        <v>4155.24</v>
      </c>
      <c r="AN257" s="111" t="s">
        <v>54</v>
      </c>
      <c r="AO257" s="113">
        <f t="shared" ref="AO257:AW257" si="274">H257/H256</f>
        <v>0.12318785578747628</v>
      </c>
      <c r="AP257" s="113">
        <f t="shared" si="274"/>
        <v>0.10777893053214023</v>
      </c>
      <c r="AQ257" s="113">
        <f t="shared" si="274"/>
        <v>9.6464801721487858E-2</v>
      </c>
      <c r="AR257" s="113">
        <f t="shared" si="274"/>
        <v>0.10282377940015401</v>
      </c>
      <c r="AS257" s="113">
        <f t="shared" si="274"/>
        <v>0.10144129762658373</v>
      </c>
      <c r="AT257" s="113">
        <f t="shared" si="274"/>
        <v>0.11097104991951214</v>
      </c>
      <c r="AU257" s="113">
        <f t="shared" si="274"/>
        <v>0.11140788974585915</v>
      </c>
      <c r="AV257" s="113">
        <f t="shared" si="274"/>
        <v>0.10254146387735594</v>
      </c>
      <c r="AW257" s="113">
        <f t="shared" si="274"/>
        <v>9.2113582011600095E-2</v>
      </c>
      <c r="AY257" s="111" t="s">
        <v>54</v>
      </c>
      <c r="AZ257" s="179">
        <f t="shared" si="242"/>
        <v>3.0796963946869069E-2</v>
      </c>
      <c r="BA257" s="179">
        <f t="shared" si="243"/>
        <v>3.3627026326027751E-2</v>
      </c>
      <c r="BB257" s="179">
        <f t="shared" si="244"/>
        <v>2.8939440516446355E-2</v>
      </c>
      <c r="BC257" s="179">
        <f t="shared" si="245"/>
        <v>2.7145477761640658E-2</v>
      </c>
      <c r="BD257" s="179">
        <f t="shared" si="246"/>
        <v>2.9215093716456114E-2</v>
      </c>
      <c r="BE257" s="179">
        <f t="shared" si="247"/>
        <v>3.1515778177141442E-2</v>
      </c>
      <c r="BF257" s="179">
        <f t="shared" si="248"/>
        <v>2.8966051333923378E-2</v>
      </c>
      <c r="BG257" s="179">
        <f t="shared" si="249"/>
        <v>3.1377687946470917E-2</v>
      </c>
      <c r="BH257" s="179">
        <f t="shared" si="250"/>
        <v>2.8555210423596031E-2</v>
      </c>
    </row>
    <row r="258" spans="2:68" s="108" customFormat="1" x14ac:dyDescent="0.25">
      <c r="B258" s="107"/>
      <c r="E258" s="109" t="s">
        <v>45</v>
      </c>
      <c r="F258" s="110" t="s">
        <v>62</v>
      </c>
      <c r="G258" s="111" t="s">
        <v>55</v>
      </c>
      <c r="H258" s="70">
        <v>42596</v>
      </c>
      <c r="I258" s="70">
        <v>40169</v>
      </c>
      <c r="J258" s="70">
        <v>42731</v>
      </c>
      <c r="K258" s="70">
        <v>45132</v>
      </c>
      <c r="L258" s="70">
        <v>52016</v>
      </c>
      <c r="M258" s="70">
        <v>60069</v>
      </c>
      <c r="N258" s="70">
        <v>59785</v>
      </c>
      <c r="O258" s="112">
        <v>64387</v>
      </c>
      <c r="P258" s="112">
        <v>66039</v>
      </c>
      <c r="R258" s="111" t="s">
        <v>55</v>
      </c>
      <c r="S258" s="81">
        <v>5.7</v>
      </c>
      <c r="T258" s="81">
        <v>6</v>
      </c>
      <c r="U258" s="81">
        <v>5.8</v>
      </c>
      <c r="V258" s="81">
        <v>5.0999999999999996</v>
      </c>
      <c r="W258" s="81">
        <v>5.5</v>
      </c>
      <c r="X258" s="81">
        <v>4.7</v>
      </c>
      <c r="Y258" s="81">
        <v>5.3</v>
      </c>
      <c r="Z258" s="81">
        <v>6</v>
      </c>
      <c r="AA258" s="81">
        <v>5.5</v>
      </c>
      <c r="AC258" s="111" t="s">
        <v>55</v>
      </c>
      <c r="AD258" s="70">
        <f t="shared" si="254"/>
        <v>4855.9440000000004</v>
      </c>
      <c r="AE258" s="70">
        <f t="shared" si="235"/>
        <v>4820.28</v>
      </c>
      <c r="AF258" s="70">
        <f t="shared" si="236"/>
        <v>4956.7959999999994</v>
      </c>
      <c r="AG258" s="70">
        <f t="shared" si="237"/>
        <v>4603.4639999999999</v>
      </c>
      <c r="AH258" s="70">
        <f t="shared" si="238"/>
        <v>5721.76</v>
      </c>
      <c r="AI258" s="70">
        <f t="shared" si="239"/>
        <v>5646.4859999999999</v>
      </c>
      <c r="AJ258" s="70">
        <f t="shared" si="240"/>
        <v>6337.21</v>
      </c>
      <c r="AK258" s="70">
        <f t="shared" si="251"/>
        <v>7726.44</v>
      </c>
      <c r="AL258" s="70">
        <f t="shared" si="252"/>
        <v>7264.29</v>
      </c>
      <c r="AN258" s="111" t="s">
        <v>55</v>
      </c>
      <c r="AO258" s="113">
        <f t="shared" ref="AO258:AW258" si="275">H258/H256</f>
        <v>0.46187042558959068</v>
      </c>
      <c r="AP258" s="113">
        <f t="shared" si="275"/>
        <v>0.43410928111356073</v>
      </c>
      <c r="AQ258" s="113">
        <f t="shared" si="275"/>
        <v>0.43786248591044163</v>
      </c>
      <c r="AR258" s="113">
        <f t="shared" si="275"/>
        <v>0.43991305449689549</v>
      </c>
      <c r="AS258" s="113">
        <f t="shared" si="275"/>
        <v>0.47721538729713114</v>
      </c>
      <c r="AT258" s="113">
        <f t="shared" si="275"/>
        <v>0.51162176664480574</v>
      </c>
      <c r="AU258" s="113">
        <f t="shared" si="275"/>
        <v>0.47244436717663424</v>
      </c>
      <c r="AV258" s="113">
        <f t="shared" si="275"/>
        <v>0.46981692412092202</v>
      </c>
      <c r="AW258" s="113">
        <f t="shared" si="275"/>
        <v>0.45382638335303332</v>
      </c>
      <c r="AY258" s="111" t="s">
        <v>55</v>
      </c>
      <c r="AZ258" s="179">
        <f t="shared" si="242"/>
        <v>5.2653228517213338E-2</v>
      </c>
      <c r="BA258" s="179">
        <f t="shared" si="243"/>
        <v>5.2093113733627287E-2</v>
      </c>
      <c r="BB258" s="179">
        <f t="shared" si="244"/>
        <v>5.0792048365611221E-2</v>
      </c>
      <c r="BC258" s="179">
        <f t="shared" si="245"/>
        <v>4.4871131558683344E-2</v>
      </c>
      <c r="BD258" s="179">
        <f t="shared" si="246"/>
        <v>5.2493692602684432E-2</v>
      </c>
      <c r="BE258" s="179">
        <f t="shared" si="247"/>
        <v>4.8092446064611744E-2</v>
      </c>
      <c r="BF258" s="179">
        <f t="shared" si="248"/>
        <v>5.0079102920723227E-2</v>
      </c>
      <c r="BG258" s="179">
        <f t="shared" si="249"/>
        <v>5.6378030894510642E-2</v>
      </c>
      <c r="BH258" s="179">
        <f t="shared" si="250"/>
        <v>4.9920902168833665E-2</v>
      </c>
    </row>
    <row r="259" spans="2:68" s="108" customFormat="1" x14ac:dyDescent="0.25">
      <c r="B259" s="107"/>
      <c r="E259" s="109" t="s">
        <v>45</v>
      </c>
      <c r="F259" s="110" t="s">
        <v>62</v>
      </c>
      <c r="G259" s="111" t="s">
        <v>130</v>
      </c>
      <c r="H259" s="70">
        <v>6578</v>
      </c>
      <c r="I259" s="70">
        <v>8129</v>
      </c>
      <c r="J259" s="70">
        <v>11437</v>
      </c>
      <c r="K259" s="70">
        <v>9794</v>
      </c>
      <c r="L259" s="70">
        <v>11672</v>
      </c>
      <c r="M259" s="70">
        <v>11074</v>
      </c>
      <c r="N259" s="70">
        <v>15445</v>
      </c>
      <c r="O259" s="112">
        <v>12708</v>
      </c>
      <c r="P259" s="112">
        <v>16063</v>
      </c>
      <c r="R259" s="111" t="s">
        <v>130</v>
      </c>
      <c r="S259" s="220">
        <v>17.399999999999999</v>
      </c>
      <c r="T259" s="220">
        <v>17.3</v>
      </c>
      <c r="U259" s="220">
        <v>13.5</v>
      </c>
      <c r="V259" s="220">
        <v>13.9</v>
      </c>
      <c r="W259" s="220">
        <v>14.4</v>
      </c>
      <c r="X259" s="220">
        <v>15.8</v>
      </c>
      <c r="Y259" s="220">
        <v>12.5</v>
      </c>
      <c r="Z259" s="220">
        <v>16.899999999999999</v>
      </c>
      <c r="AA259" s="220">
        <v>13.6</v>
      </c>
      <c r="AC259" s="111" t="s">
        <v>130</v>
      </c>
      <c r="AD259" s="70">
        <f t="shared" si="254"/>
        <v>2289.1439999999998</v>
      </c>
      <c r="AE259" s="70">
        <f t="shared" si="235"/>
        <v>2812.634</v>
      </c>
      <c r="AF259" s="70">
        <f t="shared" si="236"/>
        <v>3087.99</v>
      </c>
      <c r="AG259" s="70">
        <f t="shared" si="237"/>
        <v>2722.732</v>
      </c>
      <c r="AH259" s="70">
        <f t="shared" si="238"/>
        <v>3361.5360000000005</v>
      </c>
      <c r="AI259" s="70">
        <f t="shared" si="239"/>
        <v>3499.384</v>
      </c>
      <c r="AJ259" s="70">
        <f t="shared" si="240"/>
        <v>3861.25</v>
      </c>
      <c r="AK259" s="70">
        <f t="shared" si="251"/>
        <v>4295.3040000000001</v>
      </c>
      <c r="AL259" s="70">
        <f t="shared" si="252"/>
        <v>4369.1359999999995</v>
      </c>
      <c r="AN259" s="111" t="s">
        <v>130</v>
      </c>
      <c r="AO259" s="113">
        <f t="shared" ref="AO259:AW259" si="276">H259/H256</f>
        <v>7.1325562483057742E-2</v>
      </c>
      <c r="AP259" s="113">
        <f t="shared" si="276"/>
        <v>8.7850689491203046E-2</v>
      </c>
      <c r="AQ259" s="113">
        <f t="shared" si="276"/>
        <v>0.11719438467056051</v>
      </c>
      <c r="AR259" s="113">
        <f t="shared" si="276"/>
        <v>9.5464602848147534E-2</v>
      </c>
      <c r="AS259" s="113">
        <f t="shared" si="276"/>
        <v>0.1070835512252406</v>
      </c>
      <c r="AT259" s="113">
        <f t="shared" si="276"/>
        <v>9.4319856229079541E-2</v>
      </c>
      <c r="AU259" s="113">
        <f t="shared" si="276"/>
        <v>0.12205240864837527</v>
      </c>
      <c r="AV259" s="113">
        <f t="shared" si="276"/>
        <v>9.272731252781892E-2</v>
      </c>
      <c r="AW259" s="113">
        <f t="shared" si="276"/>
        <v>0.11038648670936529</v>
      </c>
      <c r="AY259" s="111" t="s">
        <v>130</v>
      </c>
      <c r="AZ259" s="179">
        <f t="shared" si="242"/>
        <v>2.4821295744104091E-2</v>
      </c>
      <c r="BA259" s="179">
        <f t="shared" si="243"/>
        <v>3.0396338563956252E-2</v>
      </c>
      <c r="BB259" s="179">
        <f t="shared" si="244"/>
        <v>3.164248386105134E-2</v>
      </c>
      <c r="BC259" s="179">
        <f t="shared" si="245"/>
        <v>2.6539159591785016E-2</v>
      </c>
      <c r="BD259" s="179">
        <f t="shared" si="246"/>
        <v>3.0840062752869293E-2</v>
      </c>
      <c r="BE259" s="179">
        <f t="shared" si="247"/>
        <v>2.9805074568389135E-2</v>
      </c>
      <c r="BF259" s="179">
        <f t="shared" si="248"/>
        <v>3.0513102162093818E-2</v>
      </c>
      <c r="BG259" s="179">
        <f t="shared" si="249"/>
        <v>3.1341831634402795E-2</v>
      </c>
      <c r="BH259" s="179">
        <f t="shared" si="250"/>
        <v>3.0025124384947359E-2</v>
      </c>
    </row>
    <row r="260" spans="2:68" s="108" customFormat="1" x14ac:dyDescent="0.25">
      <c r="B260" s="107"/>
      <c r="E260" s="109" t="s">
        <v>45</v>
      </c>
      <c r="F260" s="110" t="s">
        <v>62</v>
      </c>
      <c r="G260" s="111" t="s">
        <v>131</v>
      </c>
      <c r="H260" s="112">
        <v>31690</v>
      </c>
      <c r="I260" s="112">
        <v>33848</v>
      </c>
      <c r="J260" s="112">
        <v>33864</v>
      </c>
      <c r="K260" s="112">
        <v>36931</v>
      </c>
      <c r="L260" s="112">
        <v>34254</v>
      </c>
      <c r="M260" s="112">
        <v>33237</v>
      </c>
      <c r="N260" s="112">
        <v>37216</v>
      </c>
      <c r="O260" s="112">
        <v>45899</v>
      </c>
      <c r="P260" s="112">
        <v>50010</v>
      </c>
      <c r="R260" s="111" t="s">
        <v>131</v>
      </c>
      <c r="S260" s="220">
        <v>6.7</v>
      </c>
      <c r="T260" s="220">
        <v>7.3</v>
      </c>
      <c r="U260" s="220">
        <v>7.2</v>
      </c>
      <c r="V260" s="220">
        <v>6</v>
      </c>
      <c r="W260" s="220">
        <v>7.7</v>
      </c>
      <c r="X260" s="220">
        <v>7.9</v>
      </c>
      <c r="Y260" s="220">
        <v>7</v>
      </c>
      <c r="Z260" s="220">
        <v>7.5</v>
      </c>
      <c r="AA260" s="220">
        <v>6.8</v>
      </c>
      <c r="AC260" s="111" t="s">
        <v>131</v>
      </c>
      <c r="AD260" s="112">
        <f t="shared" si="254"/>
        <v>4246.46</v>
      </c>
      <c r="AE260" s="112">
        <f t="shared" si="235"/>
        <v>4941.808</v>
      </c>
      <c r="AF260" s="112">
        <f t="shared" si="236"/>
        <v>4876.4160000000002</v>
      </c>
      <c r="AG260" s="112">
        <f t="shared" si="237"/>
        <v>4431.72</v>
      </c>
      <c r="AH260" s="112">
        <f t="shared" si="238"/>
        <v>5275.116</v>
      </c>
      <c r="AI260" s="112">
        <f t="shared" si="239"/>
        <v>5251.4459999999999</v>
      </c>
      <c r="AJ260" s="112">
        <f t="shared" si="240"/>
        <v>5210.24</v>
      </c>
      <c r="AK260" s="112">
        <f t="shared" si="251"/>
        <v>6884.85</v>
      </c>
      <c r="AL260" s="112">
        <f t="shared" si="252"/>
        <v>6801.36</v>
      </c>
      <c r="AN260" s="111" t="s">
        <v>131</v>
      </c>
      <c r="AO260" s="113">
        <f t="shared" ref="AO260:AW260" si="277">H260/H256</f>
        <v>0.34361615613987528</v>
      </c>
      <c r="AP260" s="113">
        <f t="shared" si="277"/>
        <v>0.36579777806596636</v>
      </c>
      <c r="AQ260" s="113">
        <f t="shared" si="277"/>
        <v>0.3470027666769136</v>
      </c>
      <c r="AR260" s="113">
        <f t="shared" si="277"/>
        <v>0.35997582681079604</v>
      </c>
      <c r="AS260" s="113">
        <f t="shared" si="277"/>
        <v>0.31425976385104448</v>
      </c>
      <c r="AT260" s="113">
        <f t="shared" si="277"/>
        <v>0.28308732720660257</v>
      </c>
      <c r="AU260" s="113">
        <f t="shared" si="277"/>
        <v>0.29409533442913138</v>
      </c>
      <c r="AV260" s="113">
        <f t="shared" si="277"/>
        <v>0.33491429947390311</v>
      </c>
      <c r="AW260" s="113">
        <f t="shared" si="277"/>
        <v>0.34367354792600124</v>
      </c>
      <c r="AY260" s="111" t="s">
        <v>131</v>
      </c>
      <c r="AZ260" s="179">
        <f t="shared" si="242"/>
        <v>4.6044564922743288E-2</v>
      </c>
      <c r="BA260" s="179">
        <f t="shared" si="243"/>
        <v>5.3406475597631085E-2</v>
      </c>
      <c r="BB260" s="179">
        <f t="shared" si="244"/>
        <v>4.9968398401475558E-2</v>
      </c>
      <c r="BC260" s="179">
        <f t="shared" si="245"/>
        <v>4.3197099217295525E-2</v>
      </c>
      <c r="BD260" s="179">
        <f t="shared" si="246"/>
        <v>4.8396003633060854E-2</v>
      </c>
      <c r="BE260" s="179">
        <f t="shared" si="247"/>
        <v>4.4727797698643205E-2</v>
      </c>
      <c r="BF260" s="179">
        <f t="shared" si="248"/>
        <v>4.1173346820078394E-2</v>
      </c>
      <c r="BG260" s="179">
        <f t="shared" si="249"/>
        <v>5.0237144921085469E-2</v>
      </c>
      <c r="BH260" s="179">
        <f t="shared" si="250"/>
        <v>4.6739602517936171E-2</v>
      </c>
    </row>
    <row r="261" spans="2:68" s="87" customFormat="1" x14ac:dyDescent="0.25">
      <c r="B261" s="84"/>
      <c r="C261" s="85"/>
      <c r="D261" s="85"/>
      <c r="E261" s="109" t="s">
        <v>46</v>
      </c>
      <c r="F261" s="110" t="s">
        <v>62</v>
      </c>
      <c r="G261" s="195" t="s">
        <v>7</v>
      </c>
      <c r="H261" s="69">
        <v>634263</v>
      </c>
      <c r="I261" s="69">
        <v>638566</v>
      </c>
      <c r="J261" s="69">
        <v>638230</v>
      </c>
      <c r="K261" s="69">
        <v>641781</v>
      </c>
      <c r="L261" s="69">
        <v>643961</v>
      </c>
      <c r="M261" s="69">
        <v>643801</v>
      </c>
      <c r="N261" s="69">
        <v>643834</v>
      </c>
      <c r="O261" s="69">
        <v>642984</v>
      </c>
      <c r="P261" s="69">
        <v>644748</v>
      </c>
      <c r="Q261" s="108"/>
      <c r="R261" s="195" t="s">
        <v>7</v>
      </c>
      <c r="S261" s="226">
        <v>0.6</v>
      </c>
      <c r="T261" s="226">
        <v>0.7</v>
      </c>
      <c r="U261" s="226">
        <v>0.7</v>
      </c>
      <c r="V261" s="226">
        <v>0.6</v>
      </c>
      <c r="W261" s="226">
        <v>0.7</v>
      </c>
      <c r="X261" s="226">
        <v>0.8</v>
      </c>
      <c r="Y261" s="226">
        <v>0.7</v>
      </c>
      <c r="Z261" s="226">
        <v>0.9</v>
      </c>
      <c r="AA261" s="226">
        <v>0.8</v>
      </c>
      <c r="AC261" s="195" t="s">
        <v>7</v>
      </c>
      <c r="AD261" s="69">
        <f t="shared" si="254"/>
        <v>7611.1559999999999</v>
      </c>
      <c r="AE261" s="69">
        <f t="shared" si="235"/>
        <v>8939.9239999999991</v>
      </c>
      <c r="AF261" s="69">
        <f t="shared" si="236"/>
        <v>8935.2199999999993</v>
      </c>
      <c r="AG261" s="69">
        <f t="shared" si="237"/>
        <v>7701.3719999999994</v>
      </c>
      <c r="AH261" s="69">
        <f t="shared" si="238"/>
        <v>9015.4539999999997</v>
      </c>
      <c r="AI261" s="69">
        <f t="shared" si="239"/>
        <v>10300.816000000001</v>
      </c>
      <c r="AJ261" s="69">
        <f t="shared" si="240"/>
        <v>9013.6759999999995</v>
      </c>
      <c r="AK261" s="69">
        <f t="shared" si="251"/>
        <v>11573.712</v>
      </c>
      <c r="AL261" s="69">
        <f t="shared" si="252"/>
        <v>10315.968000000001</v>
      </c>
      <c r="AN261" s="195" t="s">
        <v>7</v>
      </c>
      <c r="AO261" s="98">
        <f t="shared" ref="AO261:AW261" si="278">H261/H261</f>
        <v>1</v>
      </c>
      <c r="AP261" s="98">
        <f t="shared" si="278"/>
        <v>1</v>
      </c>
      <c r="AQ261" s="98">
        <f t="shared" si="278"/>
        <v>1</v>
      </c>
      <c r="AR261" s="98">
        <f t="shared" si="278"/>
        <v>1</v>
      </c>
      <c r="AS261" s="98">
        <f t="shared" si="278"/>
        <v>1</v>
      </c>
      <c r="AT261" s="98">
        <f t="shared" si="278"/>
        <v>1</v>
      </c>
      <c r="AU261" s="98">
        <f t="shared" si="278"/>
        <v>1</v>
      </c>
      <c r="AV261" s="98">
        <f t="shared" si="278"/>
        <v>1</v>
      </c>
      <c r="AW261" s="98">
        <f t="shared" si="278"/>
        <v>1</v>
      </c>
      <c r="AX261" s="191"/>
      <c r="AY261" s="195" t="s">
        <v>7</v>
      </c>
      <c r="AZ261" s="178">
        <f t="shared" si="242"/>
        <v>1.2E-2</v>
      </c>
      <c r="BA261" s="178">
        <f t="shared" si="243"/>
        <v>1.3999999999999999E-2</v>
      </c>
      <c r="BB261" s="178">
        <f t="shared" si="244"/>
        <v>1.3999999999999999E-2</v>
      </c>
      <c r="BC261" s="178">
        <f t="shared" si="245"/>
        <v>1.2E-2</v>
      </c>
      <c r="BD261" s="178">
        <f t="shared" si="246"/>
        <v>1.3999999999999999E-2</v>
      </c>
      <c r="BE261" s="178">
        <f t="shared" si="247"/>
        <v>1.6E-2</v>
      </c>
      <c r="BF261" s="178">
        <f t="shared" si="248"/>
        <v>1.3999999999999999E-2</v>
      </c>
      <c r="BG261" s="178">
        <f t="shared" si="249"/>
        <v>1.8000000000000002E-2</v>
      </c>
      <c r="BH261" s="178">
        <f t="shared" si="250"/>
        <v>1.6E-2</v>
      </c>
      <c r="BI261" s="191"/>
      <c r="BJ261" s="191"/>
      <c r="BK261" s="191"/>
      <c r="BL261" s="191"/>
      <c r="BM261" s="191"/>
      <c r="BN261" s="191"/>
      <c r="BO261" s="191"/>
      <c r="BP261" s="191"/>
    </row>
    <row r="262" spans="2:68" s="108" customFormat="1" x14ac:dyDescent="0.25">
      <c r="B262" s="107"/>
      <c r="E262" s="109" t="s">
        <v>46</v>
      </c>
      <c r="F262" s="110" t="s">
        <v>62</v>
      </c>
      <c r="G262" s="111" t="s">
        <v>54</v>
      </c>
      <c r="H262" s="112">
        <v>167436</v>
      </c>
      <c r="I262" s="112">
        <v>161495</v>
      </c>
      <c r="J262" s="112">
        <v>143543</v>
      </c>
      <c r="K262" s="112">
        <v>149668</v>
      </c>
      <c r="L262" s="112">
        <v>142276</v>
      </c>
      <c r="M262" s="112">
        <v>145670</v>
      </c>
      <c r="N262" s="112">
        <v>136481</v>
      </c>
      <c r="O262" s="112">
        <v>117217</v>
      </c>
      <c r="P262" s="112">
        <v>92813</v>
      </c>
      <c r="R262" s="111" t="s">
        <v>54</v>
      </c>
      <c r="S262" s="220">
        <v>3.1</v>
      </c>
      <c r="T262" s="220">
        <v>2.8</v>
      </c>
      <c r="U262" s="220">
        <v>3.8</v>
      </c>
      <c r="V262" s="220">
        <v>3.5</v>
      </c>
      <c r="W262" s="220">
        <v>3.5</v>
      </c>
      <c r="X262" s="220">
        <v>3.8</v>
      </c>
      <c r="Y262" s="220">
        <v>3.6</v>
      </c>
      <c r="Z262" s="220">
        <v>5.5</v>
      </c>
      <c r="AA262" s="220">
        <v>5.7</v>
      </c>
      <c r="AC262" s="111" t="s">
        <v>54</v>
      </c>
      <c r="AD262" s="112">
        <f t="shared" si="254"/>
        <v>10381.032000000001</v>
      </c>
      <c r="AE262" s="112">
        <f t="shared" si="235"/>
        <v>9043.7199999999993</v>
      </c>
      <c r="AF262" s="112">
        <f t="shared" si="236"/>
        <v>10909.268</v>
      </c>
      <c r="AG262" s="112">
        <f t="shared" si="237"/>
        <v>10476.76</v>
      </c>
      <c r="AH262" s="112">
        <f t="shared" si="238"/>
        <v>9959.32</v>
      </c>
      <c r="AI262" s="112">
        <f t="shared" si="239"/>
        <v>11070.92</v>
      </c>
      <c r="AJ262" s="112">
        <f t="shared" si="240"/>
        <v>9826.6320000000014</v>
      </c>
      <c r="AK262" s="112">
        <f t="shared" si="251"/>
        <v>12893.87</v>
      </c>
      <c r="AL262" s="112">
        <f t="shared" si="252"/>
        <v>10580.681999999999</v>
      </c>
      <c r="AN262" s="111" t="s">
        <v>54</v>
      </c>
      <c r="AO262" s="113">
        <f t="shared" ref="AO262:AW262" si="279">H262/H261</f>
        <v>0.26398512919719425</v>
      </c>
      <c r="AP262" s="113">
        <f t="shared" si="279"/>
        <v>0.25290259738225962</v>
      </c>
      <c r="AQ262" s="113">
        <f t="shared" si="279"/>
        <v>0.2249079485451953</v>
      </c>
      <c r="AR262" s="113">
        <f t="shared" si="279"/>
        <v>0.2332072778720467</v>
      </c>
      <c r="AS262" s="113">
        <f t="shared" si="279"/>
        <v>0.22093884567543687</v>
      </c>
      <c r="AT262" s="113">
        <f t="shared" si="279"/>
        <v>0.22626556964030811</v>
      </c>
      <c r="AU262" s="113">
        <f t="shared" si="279"/>
        <v>0.21198165986884818</v>
      </c>
      <c r="AV262" s="113">
        <f t="shared" si="279"/>
        <v>0.18230158137683053</v>
      </c>
      <c r="AW262" s="113">
        <f t="shared" si="279"/>
        <v>0.1439523658855863</v>
      </c>
      <c r="AY262" s="111" t="s">
        <v>54</v>
      </c>
      <c r="AZ262" s="179">
        <f t="shared" si="242"/>
        <v>1.6367078010226042E-2</v>
      </c>
      <c r="BA262" s="179">
        <f t="shared" si="243"/>
        <v>1.4162545453406538E-2</v>
      </c>
      <c r="BB262" s="179">
        <f t="shared" si="244"/>
        <v>1.7093004089434843E-2</v>
      </c>
      <c r="BC262" s="179">
        <f t="shared" si="245"/>
        <v>1.632450945104327E-2</v>
      </c>
      <c r="BD262" s="179">
        <f t="shared" si="246"/>
        <v>1.546571919728058E-2</v>
      </c>
      <c r="BE262" s="179">
        <f t="shared" si="247"/>
        <v>1.7196183292663415E-2</v>
      </c>
      <c r="BF262" s="179">
        <f t="shared" si="248"/>
        <v>1.5262679510557068E-2</v>
      </c>
      <c r="BG262" s="179">
        <f t="shared" si="249"/>
        <v>2.0053173951451359E-2</v>
      </c>
      <c r="BH262" s="179">
        <f t="shared" si="250"/>
        <v>1.6410569710956838E-2</v>
      </c>
    </row>
    <row r="263" spans="2:68" s="108" customFormat="1" x14ac:dyDescent="0.25">
      <c r="B263" s="107"/>
      <c r="E263" s="109" t="s">
        <v>46</v>
      </c>
      <c r="F263" s="110" t="s">
        <v>62</v>
      </c>
      <c r="G263" s="111" t="s">
        <v>55</v>
      </c>
      <c r="H263" s="70">
        <v>173958</v>
      </c>
      <c r="I263" s="70">
        <v>177768</v>
      </c>
      <c r="J263" s="70">
        <v>187077</v>
      </c>
      <c r="K263" s="70">
        <v>180149</v>
      </c>
      <c r="L263" s="70">
        <v>176712</v>
      </c>
      <c r="M263" s="70">
        <v>194437</v>
      </c>
      <c r="N263" s="70">
        <v>181776</v>
      </c>
      <c r="O263" s="112">
        <v>194015</v>
      </c>
      <c r="P263" s="112">
        <v>186341</v>
      </c>
      <c r="R263" s="111" t="s">
        <v>55</v>
      </c>
      <c r="S263" s="81">
        <v>3.1</v>
      </c>
      <c r="T263" s="81">
        <v>3.5</v>
      </c>
      <c r="U263" s="81">
        <v>3.3</v>
      </c>
      <c r="V263" s="81">
        <v>3.1</v>
      </c>
      <c r="W263" s="81">
        <v>3.5</v>
      </c>
      <c r="X263" s="81">
        <v>3.8</v>
      </c>
      <c r="Y263" s="81">
        <v>3.7</v>
      </c>
      <c r="Z263" s="81">
        <v>4.4000000000000004</v>
      </c>
      <c r="AA263" s="81">
        <v>4.2</v>
      </c>
      <c r="AC263" s="111" t="s">
        <v>55</v>
      </c>
      <c r="AD263" s="70">
        <f t="shared" si="254"/>
        <v>10785.396000000001</v>
      </c>
      <c r="AE263" s="70">
        <f t="shared" si="235"/>
        <v>12443.76</v>
      </c>
      <c r="AF263" s="70">
        <f t="shared" si="236"/>
        <v>12347.082</v>
      </c>
      <c r="AG263" s="70">
        <f t="shared" si="237"/>
        <v>11169.238000000001</v>
      </c>
      <c r="AH263" s="70">
        <f t="shared" si="238"/>
        <v>12369.84</v>
      </c>
      <c r="AI263" s="70">
        <f t="shared" si="239"/>
        <v>14777.212</v>
      </c>
      <c r="AJ263" s="70">
        <f t="shared" si="240"/>
        <v>13451.424000000001</v>
      </c>
      <c r="AK263" s="70">
        <f t="shared" si="251"/>
        <v>17073.320000000003</v>
      </c>
      <c r="AL263" s="70">
        <f t="shared" si="252"/>
        <v>15652.644000000002</v>
      </c>
      <c r="AN263" s="111" t="s">
        <v>55</v>
      </c>
      <c r="AO263" s="113">
        <f t="shared" ref="AO263:AW263" si="280">H263/H261</f>
        <v>0.27426792986505599</v>
      </c>
      <c r="AP263" s="113">
        <f t="shared" si="280"/>
        <v>0.27838625921204702</v>
      </c>
      <c r="AQ263" s="113">
        <f t="shared" si="280"/>
        <v>0.29311846826379206</v>
      </c>
      <c r="AR263" s="113">
        <f t="shared" si="280"/>
        <v>0.28070167237733745</v>
      </c>
      <c r="AS263" s="113">
        <f t="shared" si="280"/>
        <v>0.27441413377518203</v>
      </c>
      <c r="AT263" s="113">
        <f t="shared" si="280"/>
        <v>0.30201413169597435</v>
      </c>
      <c r="AU263" s="113">
        <f t="shared" si="280"/>
        <v>0.28233364500787472</v>
      </c>
      <c r="AV263" s="113">
        <f t="shared" si="280"/>
        <v>0.30174156744180258</v>
      </c>
      <c r="AW263" s="113">
        <f t="shared" si="280"/>
        <v>0.28901369217120487</v>
      </c>
      <c r="AY263" s="111" t="s">
        <v>55</v>
      </c>
      <c r="AZ263" s="179">
        <f t="shared" si="242"/>
        <v>1.7004611651633472E-2</v>
      </c>
      <c r="BA263" s="179">
        <f t="shared" si="243"/>
        <v>1.9487038144843292E-2</v>
      </c>
      <c r="BB263" s="179">
        <f t="shared" si="244"/>
        <v>1.9345818905410275E-2</v>
      </c>
      <c r="BC263" s="179">
        <f t="shared" si="245"/>
        <v>1.7403503687394923E-2</v>
      </c>
      <c r="BD263" s="179">
        <f t="shared" si="246"/>
        <v>1.9208989364262744E-2</v>
      </c>
      <c r="BE263" s="179">
        <f t="shared" si="247"/>
        <v>2.2953074008894049E-2</v>
      </c>
      <c r="BF263" s="179">
        <f t="shared" si="248"/>
        <v>2.0892689730582732E-2</v>
      </c>
      <c r="BG263" s="179">
        <f t="shared" si="249"/>
        <v>2.655325793487863E-2</v>
      </c>
      <c r="BH263" s="179">
        <f t="shared" si="250"/>
        <v>2.4277150142381208E-2</v>
      </c>
    </row>
    <row r="264" spans="2:68" s="108" customFormat="1" x14ac:dyDescent="0.25">
      <c r="B264" s="107"/>
      <c r="E264" s="109" t="s">
        <v>46</v>
      </c>
      <c r="F264" s="110" t="s">
        <v>62</v>
      </c>
      <c r="G264" s="111" t="s">
        <v>130</v>
      </c>
      <c r="H264" s="70">
        <v>76282</v>
      </c>
      <c r="I264" s="70">
        <v>82115</v>
      </c>
      <c r="J264" s="70">
        <v>77066</v>
      </c>
      <c r="K264" s="70">
        <v>73238</v>
      </c>
      <c r="L264" s="70">
        <v>85277</v>
      </c>
      <c r="M264" s="70">
        <v>82093</v>
      </c>
      <c r="N264" s="70">
        <v>91017</v>
      </c>
      <c r="O264" s="112">
        <v>77468</v>
      </c>
      <c r="P264" s="112">
        <v>82757</v>
      </c>
      <c r="R264" s="111" t="s">
        <v>130</v>
      </c>
      <c r="S264" s="220">
        <v>4.7</v>
      </c>
      <c r="T264" s="220">
        <v>5.0999999999999996</v>
      </c>
      <c r="U264" s="220">
        <v>5</v>
      </c>
      <c r="V264" s="220">
        <v>4.9000000000000004</v>
      </c>
      <c r="W264" s="220">
        <v>5</v>
      </c>
      <c r="X264" s="220">
        <v>5.6</v>
      </c>
      <c r="Y264" s="220">
        <v>5.0999999999999996</v>
      </c>
      <c r="Z264" s="220">
        <v>6.6</v>
      </c>
      <c r="AA264" s="220">
        <v>6.1</v>
      </c>
      <c r="AC264" s="111" t="s">
        <v>130</v>
      </c>
      <c r="AD264" s="70">
        <f t="shared" si="254"/>
        <v>7170.5080000000007</v>
      </c>
      <c r="AE264" s="70">
        <f t="shared" si="235"/>
        <v>8375.73</v>
      </c>
      <c r="AF264" s="70">
        <f t="shared" si="236"/>
        <v>7706.6</v>
      </c>
      <c r="AG264" s="70">
        <f t="shared" si="237"/>
        <v>7177.3240000000005</v>
      </c>
      <c r="AH264" s="70">
        <f t="shared" si="238"/>
        <v>8527.7000000000007</v>
      </c>
      <c r="AI264" s="70">
        <f t="shared" si="239"/>
        <v>9194.4159999999993</v>
      </c>
      <c r="AJ264" s="70">
        <f t="shared" si="240"/>
        <v>9283.7339999999986</v>
      </c>
      <c r="AK264" s="70">
        <f t="shared" si="251"/>
        <v>10225.776</v>
      </c>
      <c r="AL264" s="70">
        <f t="shared" si="252"/>
        <v>10096.353999999999</v>
      </c>
      <c r="AN264" s="111" t="s">
        <v>130</v>
      </c>
      <c r="AO264" s="113">
        <f t="shared" ref="AO264:AW264" si="281">H264/H261</f>
        <v>0.12026872133484059</v>
      </c>
      <c r="AP264" s="113">
        <f t="shared" si="281"/>
        <v>0.12859281577785225</v>
      </c>
      <c r="AQ264" s="113">
        <f t="shared" si="281"/>
        <v>0.12074957303793303</v>
      </c>
      <c r="AR264" s="113">
        <f t="shared" si="281"/>
        <v>0.11411680931657373</v>
      </c>
      <c r="AS264" s="113">
        <f t="shared" si="281"/>
        <v>0.13242572143344084</v>
      </c>
      <c r="AT264" s="113">
        <f t="shared" si="281"/>
        <v>0.12751300479495994</v>
      </c>
      <c r="AU264" s="113">
        <f t="shared" si="281"/>
        <v>0.14136718470910203</v>
      </c>
      <c r="AV264" s="113">
        <f t="shared" si="281"/>
        <v>0.1204820026625857</v>
      </c>
      <c r="AW264" s="113">
        <f t="shared" si="281"/>
        <v>0.12835557458107663</v>
      </c>
      <c r="AY264" s="111" t="s">
        <v>130</v>
      </c>
      <c r="AZ264" s="179">
        <f t="shared" si="242"/>
        <v>1.1305259805475016E-2</v>
      </c>
      <c r="BA264" s="179">
        <f t="shared" si="243"/>
        <v>1.311646720934093E-2</v>
      </c>
      <c r="BB264" s="179">
        <f t="shared" si="244"/>
        <v>1.2074957303793304E-2</v>
      </c>
      <c r="BC264" s="179">
        <f t="shared" si="245"/>
        <v>1.1183447313024225E-2</v>
      </c>
      <c r="BD264" s="179">
        <f t="shared" si="246"/>
        <v>1.3242572143344082E-2</v>
      </c>
      <c r="BE264" s="179">
        <f t="shared" si="247"/>
        <v>1.4281456537035513E-2</v>
      </c>
      <c r="BF264" s="179">
        <f t="shared" si="248"/>
        <v>1.4419452840328407E-2</v>
      </c>
      <c r="BG264" s="179">
        <f t="shared" si="249"/>
        <v>1.5903624351461313E-2</v>
      </c>
      <c r="BH264" s="179">
        <f t="shared" si="250"/>
        <v>1.565938009889135E-2</v>
      </c>
    </row>
    <row r="265" spans="2:68" s="108" customFormat="1" x14ac:dyDescent="0.25">
      <c r="B265" s="107"/>
      <c r="E265" s="109" t="s">
        <v>46</v>
      </c>
      <c r="F265" s="110" t="s">
        <v>62</v>
      </c>
      <c r="G265" s="111" t="s">
        <v>131</v>
      </c>
      <c r="H265" s="112">
        <v>215613</v>
      </c>
      <c r="I265" s="112">
        <v>212986</v>
      </c>
      <c r="J265" s="112">
        <v>229215</v>
      </c>
      <c r="K265" s="112">
        <v>237047</v>
      </c>
      <c r="L265" s="112">
        <v>236596</v>
      </c>
      <c r="M265" s="112">
        <v>220039</v>
      </c>
      <c r="N265" s="112">
        <v>230349</v>
      </c>
      <c r="O265" s="112">
        <v>254284</v>
      </c>
      <c r="P265" s="112">
        <v>282837</v>
      </c>
      <c r="R265" s="111" t="s">
        <v>131</v>
      </c>
      <c r="S265" s="220">
        <v>2.5</v>
      </c>
      <c r="T265" s="220">
        <v>2.8</v>
      </c>
      <c r="U265" s="220">
        <v>2.7</v>
      </c>
      <c r="V265" s="220">
        <v>2.5</v>
      </c>
      <c r="W265" s="220">
        <v>2.9</v>
      </c>
      <c r="X265" s="220">
        <v>2.6</v>
      </c>
      <c r="Y265" s="220">
        <v>2.6</v>
      </c>
      <c r="Z265" s="220">
        <v>4.4000000000000004</v>
      </c>
      <c r="AA265" s="220">
        <v>2.9</v>
      </c>
      <c r="AC265" s="111" t="s">
        <v>131</v>
      </c>
      <c r="AD265" s="112">
        <f t="shared" si="254"/>
        <v>10780.65</v>
      </c>
      <c r="AE265" s="112">
        <f t="shared" si="235"/>
        <v>11927.215999999999</v>
      </c>
      <c r="AF265" s="112">
        <f t="shared" si="236"/>
        <v>12377.61</v>
      </c>
      <c r="AG265" s="112">
        <f t="shared" si="237"/>
        <v>11852.35</v>
      </c>
      <c r="AH265" s="112">
        <f t="shared" si="238"/>
        <v>13722.568000000001</v>
      </c>
      <c r="AI265" s="112">
        <f t="shared" si="239"/>
        <v>11442.028</v>
      </c>
      <c r="AJ265" s="112">
        <f t="shared" si="240"/>
        <v>11978.148000000001</v>
      </c>
      <c r="AK265" s="112">
        <f t="shared" si="251"/>
        <v>22376.992000000002</v>
      </c>
      <c r="AL265" s="112">
        <f t="shared" si="252"/>
        <v>16404.545999999998</v>
      </c>
      <c r="AN265" s="111" t="s">
        <v>131</v>
      </c>
      <c r="AO265" s="113">
        <f t="shared" ref="AO265:AW265" si="282">H265/H261</f>
        <v>0.33994257902478942</v>
      </c>
      <c r="AP265" s="113">
        <f t="shared" si="282"/>
        <v>0.3335379584882377</v>
      </c>
      <c r="AQ265" s="113">
        <f t="shared" si="282"/>
        <v>0.35914168873290192</v>
      </c>
      <c r="AR265" s="113">
        <f t="shared" si="282"/>
        <v>0.36935808320906977</v>
      </c>
      <c r="AS265" s="113">
        <f t="shared" si="282"/>
        <v>0.36740734299126809</v>
      </c>
      <c r="AT265" s="113">
        <f t="shared" si="282"/>
        <v>0.34178107831457238</v>
      </c>
      <c r="AU265" s="113">
        <f t="shared" si="282"/>
        <v>0.35777700463162865</v>
      </c>
      <c r="AV265" s="113">
        <f t="shared" si="282"/>
        <v>0.39547484851878117</v>
      </c>
      <c r="AW265" s="113">
        <f t="shared" si="282"/>
        <v>0.43867836736213217</v>
      </c>
      <c r="AY265" s="111" t="s">
        <v>131</v>
      </c>
      <c r="AZ265" s="179">
        <f t="shared" si="242"/>
        <v>1.6997128951239469E-2</v>
      </c>
      <c r="BA265" s="179">
        <f t="shared" si="243"/>
        <v>1.8678125675341311E-2</v>
      </c>
      <c r="BB265" s="179">
        <f t="shared" si="244"/>
        <v>1.9393651191576704E-2</v>
      </c>
      <c r="BC265" s="179">
        <f t="shared" si="245"/>
        <v>1.8467904160453488E-2</v>
      </c>
      <c r="BD265" s="179">
        <f t="shared" si="246"/>
        <v>2.1309625893493549E-2</v>
      </c>
      <c r="BE265" s="179">
        <f t="shared" si="247"/>
        <v>1.7772616072357764E-2</v>
      </c>
      <c r="BF265" s="179">
        <f t="shared" si="248"/>
        <v>1.8604404240844689E-2</v>
      </c>
      <c r="BG265" s="179">
        <f t="shared" si="249"/>
        <v>3.4801786669652744E-2</v>
      </c>
      <c r="BH265" s="179">
        <f t="shared" si="250"/>
        <v>2.5443345307003665E-2</v>
      </c>
    </row>
    <row r="266" spans="2:68" s="87" customFormat="1" x14ac:dyDescent="0.25">
      <c r="B266" s="84"/>
      <c r="C266" s="85"/>
      <c r="D266" s="85"/>
      <c r="E266" s="109" t="s">
        <v>4</v>
      </c>
      <c r="F266" s="110" t="s">
        <v>62</v>
      </c>
      <c r="G266" s="195" t="s">
        <v>7</v>
      </c>
      <c r="H266" s="69">
        <v>310591</v>
      </c>
      <c r="I266" s="69">
        <v>312172</v>
      </c>
      <c r="J266" s="69">
        <v>312075</v>
      </c>
      <c r="K266" s="69">
        <v>313457</v>
      </c>
      <c r="L266" s="69">
        <v>313340</v>
      </c>
      <c r="M266" s="69">
        <v>312552</v>
      </c>
      <c r="N266" s="69">
        <v>313834</v>
      </c>
      <c r="O266" s="69">
        <v>314249</v>
      </c>
      <c r="P266" s="69">
        <v>315085</v>
      </c>
      <c r="Q266" s="108"/>
      <c r="R266" s="195" t="s">
        <v>7</v>
      </c>
      <c r="S266" s="226">
        <v>1.8</v>
      </c>
      <c r="T266" s="226">
        <v>0.9</v>
      </c>
      <c r="U266" s="226">
        <v>0.9</v>
      </c>
      <c r="V266" s="226">
        <v>0.7</v>
      </c>
      <c r="W266" s="226">
        <v>0.8</v>
      </c>
      <c r="X266" s="226">
        <v>1</v>
      </c>
      <c r="Y266" s="226">
        <v>0.9</v>
      </c>
      <c r="Z266" s="226">
        <v>1.1000000000000001</v>
      </c>
      <c r="AA266" s="226">
        <v>1</v>
      </c>
      <c r="AC266" s="195" t="s">
        <v>7</v>
      </c>
      <c r="AD266" s="69">
        <f t="shared" si="254"/>
        <v>11181.276000000002</v>
      </c>
      <c r="AE266" s="69">
        <f t="shared" si="235"/>
        <v>5619.0959999999995</v>
      </c>
      <c r="AF266" s="69">
        <f t="shared" si="236"/>
        <v>5617.35</v>
      </c>
      <c r="AG266" s="69">
        <f t="shared" si="237"/>
        <v>4388.3980000000001</v>
      </c>
      <c r="AH266" s="69">
        <f t="shared" si="238"/>
        <v>5013.4399999999996</v>
      </c>
      <c r="AI266" s="69">
        <f t="shared" si="239"/>
        <v>6251.04</v>
      </c>
      <c r="AJ266" s="69">
        <f t="shared" si="240"/>
        <v>5649.0120000000006</v>
      </c>
      <c r="AK266" s="69">
        <f t="shared" si="251"/>
        <v>6913.4780000000001</v>
      </c>
      <c r="AL266" s="69">
        <f t="shared" si="252"/>
        <v>6301.7</v>
      </c>
      <c r="AN266" s="195" t="s">
        <v>7</v>
      </c>
      <c r="AO266" s="98">
        <f t="shared" ref="AO266:AW266" si="283">H266/H266</f>
        <v>1</v>
      </c>
      <c r="AP266" s="98">
        <f t="shared" si="283"/>
        <v>1</v>
      </c>
      <c r="AQ266" s="98">
        <f t="shared" si="283"/>
        <v>1</v>
      </c>
      <c r="AR266" s="98">
        <f t="shared" si="283"/>
        <v>1</v>
      </c>
      <c r="AS266" s="98">
        <f t="shared" si="283"/>
        <v>1</v>
      </c>
      <c r="AT266" s="98">
        <f t="shared" si="283"/>
        <v>1</v>
      </c>
      <c r="AU266" s="98">
        <f t="shared" si="283"/>
        <v>1</v>
      </c>
      <c r="AV266" s="98">
        <f t="shared" si="283"/>
        <v>1</v>
      </c>
      <c r="AW266" s="98">
        <f t="shared" si="283"/>
        <v>1</v>
      </c>
      <c r="AX266" s="191"/>
      <c r="AY266" s="195" t="s">
        <v>7</v>
      </c>
      <c r="AZ266" s="178">
        <f t="shared" si="242"/>
        <v>3.6000000000000004E-2</v>
      </c>
      <c r="BA266" s="178">
        <f t="shared" si="243"/>
        <v>1.8000000000000002E-2</v>
      </c>
      <c r="BB266" s="178">
        <f t="shared" si="244"/>
        <v>1.8000000000000002E-2</v>
      </c>
      <c r="BC266" s="178">
        <f t="shared" si="245"/>
        <v>1.3999999999999999E-2</v>
      </c>
      <c r="BD266" s="178">
        <f t="shared" si="246"/>
        <v>1.6E-2</v>
      </c>
      <c r="BE266" s="178">
        <f t="shared" si="247"/>
        <v>0.02</v>
      </c>
      <c r="BF266" s="178">
        <f t="shared" si="248"/>
        <v>1.8000000000000002E-2</v>
      </c>
      <c r="BG266" s="178">
        <f t="shared" si="249"/>
        <v>2.2000000000000002E-2</v>
      </c>
      <c r="BH266" s="178">
        <f t="shared" si="250"/>
        <v>0.02</v>
      </c>
      <c r="BI266" s="191"/>
      <c r="BJ266" s="191"/>
      <c r="BK266" s="191"/>
      <c r="BL266" s="191"/>
      <c r="BM266" s="191"/>
      <c r="BN266" s="191"/>
      <c r="BO266" s="191"/>
      <c r="BP266" s="191"/>
    </row>
    <row r="267" spans="2:68" s="108" customFormat="1" x14ac:dyDescent="0.25">
      <c r="B267" s="107"/>
      <c r="E267" s="109" t="s">
        <v>4</v>
      </c>
      <c r="F267" s="110" t="s">
        <v>62</v>
      </c>
      <c r="G267" s="111" t="s">
        <v>54</v>
      </c>
      <c r="H267" s="112">
        <v>86947</v>
      </c>
      <c r="I267" s="112">
        <v>81343</v>
      </c>
      <c r="J267" s="112">
        <v>77332</v>
      </c>
      <c r="K267" s="112">
        <v>78689</v>
      </c>
      <c r="L267" s="112">
        <v>76731</v>
      </c>
      <c r="M267" s="112">
        <v>74644</v>
      </c>
      <c r="N267" s="112">
        <v>74347</v>
      </c>
      <c r="O267" s="112">
        <v>58939</v>
      </c>
      <c r="P267" s="112">
        <v>51504</v>
      </c>
      <c r="R267" s="111" t="s">
        <v>54</v>
      </c>
      <c r="S267" s="220">
        <v>4.4000000000000004</v>
      </c>
      <c r="T267" s="220">
        <v>4.8</v>
      </c>
      <c r="U267" s="220">
        <v>4.7</v>
      </c>
      <c r="V267" s="220">
        <v>4.7</v>
      </c>
      <c r="W267" s="220">
        <v>5</v>
      </c>
      <c r="X267" s="220">
        <v>5.6</v>
      </c>
      <c r="Y267" s="220">
        <v>5.3</v>
      </c>
      <c r="Z267" s="220">
        <v>7.9</v>
      </c>
      <c r="AA267" s="220">
        <v>7.9</v>
      </c>
      <c r="AC267" s="111" t="s">
        <v>54</v>
      </c>
      <c r="AD267" s="112">
        <f t="shared" si="254"/>
        <v>7651.3360000000011</v>
      </c>
      <c r="AE267" s="112">
        <f t="shared" si="235"/>
        <v>7808.927999999999</v>
      </c>
      <c r="AF267" s="112">
        <f t="shared" si="236"/>
        <v>7269.2080000000005</v>
      </c>
      <c r="AG267" s="112">
        <f t="shared" si="237"/>
        <v>7396.7659999999996</v>
      </c>
      <c r="AH267" s="112">
        <f t="shared" si="238"/>
        <v>7673.1</v>
      </c>
      <c r="AI267" s="112">
        <f t="shared" si="239"/>
        <v>8360.1279999999988</v>
      </c>
      <c r="AJ267" s="112">
        <f t="shared" si="240"/>
        <v>7880.7819999999992</v>
      </c>
      <c r="AK267" s="112">
        <f t="shared" si="251"/>
        <v>9312.362000000001</v>
      </c>
      <c r="AL267" s="112">
        <f t="shared" si="252"/>
        <v>8137.6320000000005</v>
      </c>
      <c r="AN267" s="111" t="s">
        <v>54</v>
      </c>
      <c r="AO267" s="113">
        <f t="shared" ref="AO267:AW267" si="284">H267/H266</f>
        <v>0.27994050052963543</v>
      </c>
      <c r="AP267" s="113">
        <f t="shared" si="284"/>
        <v>0.26057109542175466</v>
      </c>
      <c r="AQ267" s="113">
        <f t="shared" si="284"/>
        <v>0.24779940719378354</v>
      </c>
      <c r="AR267" s="113">
        <f t="shared" si="284"/>
        <v>0.25103602727008806</v>
      </c>
      <c r="AS267" s="113">
        <f t="shared" si="284"/>
        <v>0.2448809599795749</v>
      </c>
      <c r="AT267" s="113">
        <f t="shared" si="284"/>
        <v>0.23882106017558677</v>
      </c>
      <c r="AU267" s="113">
        <f t="shared" si="284"/>
        <v>0.23689912501513538</v>
      </c>
      <c r="AV267" s="113">
        <f t="shared" si="284"/>
        <v>0.18755509166298062</v>
      </c>
      <c r="AW267" s="113">
        <f t="shared" si="284"/>
        <v>0.16346065347445926</v>
      </c>
      <c r="AY267" s="111" t="s">
        <v>54</v>
      </c>
      <c r="AZ267" s="179">
        <f t="shared" si="242"/>
        <v>2.4634764046607919E-2</v>
      </c>
      <c r="BA267" s="179">
        <f t="shared" si="243"/>
        <v>2.5014825160488446E-2</v>
      </c>
      <c r="BB267" s="179">
        <f t="shared" si="244"/>
        <v>2.3293144276215653E-2</v>
      </c>
      <c r="BC267" s="179">
        <f t="shared" si="245"/>
        <v>2.3597386563388278E-2</v>
      </c>
      <c r="BD267" s="179">
        <f t="shared" si="246"/>
        <v>2.4488095997957489E-2</v>
      </c>
      <c r="BE267" s="179">
        <f t="shared" si="247"/>
        <v>2.6747958739665716E-2</v>
      </c>
      <c r="BF267" s="179">
        <f t="shared" si="248"/>
        <v>2.5111307251604348E-2</v>
      </c>
      <c r="BG267" s="179">
        <f t="shared" si="249"/>
        <v>2.9633704482750937E-2</v>
      </c>
      <c r="BH267" s="179">
        <f t="shared" si="250"/>
        <v>2.5826783248964563E-2</v>
      </c>
    </row>
    <row r="268" spans="2:68" s="108" customFormat="1" x14ac:dyDescent="0.25">
      <c r="B268" s="107"/>
      <c r="E268" s="109" t="s">
        <v>4</v>
      </c>
      <c r="F268" s="110" t="s">
        <v>62</v>
      </c>
      <c r="G268" s="111" t="s">
        <v>55</v>
      </c>
      <c r="H268" s="70">
        <v>97918</v>
      </c>
      <c r="I268" s="70">
        <v>101427</v>
      </c>
      <c r="J268" s="70">
        <v>100016</v>
      </c>
      <c r="K268" s="70">
        <v>98010</v>
      </c>
      <c r="L268" s="70">
        <v>93536</v>
      </c>
      <c r="M268" s="70">
        <v>102095</v>
      </c>
      <c r="N268" s="70">
        <v>94041</v>
      </c>
      <c r="O268" s="112">
        <v>112508</v>
      </c>
      <c r="P268" s="112">
        <v>100293</v>
      </c>
      <c r="R268" s="111" t="s">
        <v>55</v>
      </c>
      <c r="S268" s="81">
        <v>4.3</v>
      </c>
      <c r="T268" s="81">
        <v>4.4000000000000004</v>
      </c>
      <c r="U268" s="81">
        <v>4.2</v>
      </c>
      <c r="V268" s="81">
        <v>4.2</v>
      </c>
      <c r="W268" s="81">
        <v>4.9000000000000004</v>
      </c>
      <c r="X268" s="81">
        <v>4.8</v>
      </c>
      <c r="Y268" s="81">
        <v>5.0999999999999996</v>
      </c>
      <c r="Z268" s="81">
        <v>5.5</v>
      </c>
      <c r="AA268" s="81">
        <v>5.3</v>
      </c>
      <c r="AC268" s="111" t="s">
        <v>55</v>
      </c>
      <c r="AD268" s="70">
        <f t="shared" si="254"/>
        <v>8420.9479999999985</v>
      </c>
      <c r="AE268" s="70">
        <f t="shared" si="235"/>
        <v>8925.5760000000009</v>
      </c>
      <c r="AF268" s="70">
        <f t="shared" si="236"/>
        <v>8401.344000000001</v>
      </c>
      <c r="AG268" s="70">
        <f t="shared" si="237"/>
        <v>8232.84</v>
      </c>
      <c r="AH268" s="70">
        <f t="shared" si="238"/>
        <v>9166.5280000000002</v>
      </c>
      <c r="AI268" s="70">
        <f t="shared" si="239"/>
        <v>9801.1200000000008</v>
      </c>
      <c r="AJ268" s="70">
        <f t="shared" si="240"/>
        <v>9592.1819999999989</v>
      </c>
      <c r="AK268" s="70">
        <f t="shared" si="251"/>
        <v>12375.88</v>
      </c>
      <c r="AL268" s="70">
        <f t="shared" si="252"/>
        <v>10631.058000000001</v>
      </c>
      <c r="AN268" s="111" t="s">
        <v>55</v>
      </c>
      <c r="AO268" s="113">
        <f t="shared" ref="AO268:AW268" si="285">H268/H266</f>
        <v>0.3152634815561301</v>
      </c>
      <c r="AP268" s="113">
        <f t="shared" si="285"/>
        <v>0.32490742283100343</v>
      </c>
      <c r="AQ268" s="113">
        <f t="shared" si="285"/>
        <v>0.32048706240487063</v>
      </c>
      <c r="AR268" s="113">
        <f t="shared" si="285"/>
        <v>0.31267446571619073</v>
      </c>
      <c r="AS268" s="113">
        <f t="shared" si="285"/>
        <v>0.29851279760005106</v>
      </c>
      <c r="AT268" s="113">
        <f t="shared" si="285"/>
        <v>0.32664964549898895</v>
      </c>
      <c r="AU268" s="113">
        <f t="shared" si="285"/>
        <v>0.29965204534881495</v>
      </c>
      <c r="AV268" s="113">
        <f t="shared" si="285"/>
        <v>0.35802182345846767</v>
      </c>
      <c r="AW268" s="113">
        <f t="shared" si="285"/>
        <v>0.31830458447720456</v>
      </c>
      <c r="AY268" s="111" t="s">
        <v>55</v>
      </c>
      <c r="AZ268" s="179">
        <f t="shared" si="242"/>
        <v>2.7112659413827189E-2</v>
      </c>
      <c r="BA268" s="179">
        <f t="shared" si="243"/>
        <v>2.8591853209128305E-2</v>
      </c>
      <c r="BB268" s="179">
        <f t="shared" si="244"/>
        <v>2.6920913242009133E-2</v>
      </c>
      <c r="BC268" s="179">
        <f t="shared" si="245"/>
        <v>2.6264655120160022E-2</v>
      </c>
      <c r="BD268" s="179">
        <f t="shared" si="246"/>
        <v>2.9254254164805003E-2</v>
      </c>
      <c r="BE268" s="179">
        <f t="shared" si="247"/>
        <v>3.1358365967902938E-2</v>
      </c>
      <c r="BF268" s="179">
        <f t="shared" si="248"/>
        <v>3.0564508625579124E-2</v>
      </c>
      <c r="BG268" s="179">
        <f t="shared" si="249"/>
        <v>3.9382400580431444E-2</v>
      </c>
      <c r="BH268" s="179">
        <f t="shared" si="250"/>
        <v>3.3740285954583678E-2</v>
      </c>
    </row>
    <row r="269" spans="2:68" s="108" customFormat="1" x14ac:dyDescent="0.25">
      <c r="B269" s="107"/>
      <c r="E269" s="109" t="s">
        <v>4</v>
      </c>
      <c r="F269" s="110" t="s">
        <v>62</v>
      </c>
      <c r="G269" s="111" t="s">
        <v>130</v>
      </c>
      <c r="H269" s="70">
        <v>34661</v>
      </c>
      <c r="I269" s="70">
        <v>36066</v>
      </c>
      <c r="J269" s="70">
        <v>39780</v>
      </c>
      <c r="K269" s="70">
        <v>36598</v>
      </c>
      <c r="L269" s="70">
        <v>38781</v>
      </c>
      <c r="M269" s="70">
        <v>44391</v>
      </c>
      <c r="N269" s="70">
        <v>46959</v>
      </c>
      <c r="O269" s="112">
        <v>37250</v>
      </c>
      <c r="P269" s="112">
        <v>39980</v>
      </c>
      <c r="R269" s="111" t="s">
        <v>130</v>
      </c>
      <c r="S269" s="220">
        <v>7.8</v>
      </c>
      <c r="T269" s="220">
        <v>7.9</v>
      </c>
      <c r="U269" s="220">
        <v>7.6</v>
      </c>
      <c r="V269" s="220">
        <v>7.1</v>
      </c>
      <c r="W269" s="220">
        <v>8</v>
      </c>
      <c r="X269" s="220">
        <v>8</v>
      </c>
      <c r="Y269" s="220">
        <v>7.4</v>
      </c>
      <c r="Z269" s="220">
        <v>9.9</v>
      </c>
      <c r="AA269" s="220">
        <v>9.4</v>
      </c>
      <c r="AC269" s="111" t="s">
        <v>130</v>
      </c>
      <c r="AD269" s="70">
        <f t="shared" si="254"/>
        <v>5407.116</v>
      </c>
      <c r="AE269" s="70">
        <f t="shared" si="235"/>
        <v>5698.4280000000008</v>
      </c>
      <c r="AF269" s="70">
        <f t="shared" si="236"/>
        <v>6046.56</v>
      </c>
      <c r="AG269" s="70">
        <f t="shared" si="237"/>
        <v>5196.9160000000002</v>
      </c>
      <c r="AH269" s="70">
        <f t="shared" si="238"/>
        <v>6204.96</v>
      </c>
      <c r="AI269" s="70">
        <f t="shared" si="239"/>
        <v>7102.56</v>
      </c>
      <c r="AJ269" s="70">
        <f t="shared" si="240"/>
        <v>6949.9320000000007</v>
      </c>
      <c r="AK269" s="70">
        <f t="shared" si="251"/>
        <v>7375.5</v>
      </c>
      <c r="AL269" s="70">
        <f t="shared" si="252"/>
        <v>7516.24</v>
      </c>
      <c r="AN269" s="111" t="s">
        <v>130</v>
      </c>
      <c r="AO269" s="113">
        <f t="shared" ref="AO269:AW269" si="286">H269/H266</f>
        <v>0.11159692328496318</v>
      </c>
      <c r="AP269" s="113">
        <f t="shared" si="286"/>
        <v>0.11553246287303154</v>
      </c>
      <c r="AQ269" s="113">
        <f t="shared" si="286"/>
        <v>0.12746935832732517</v>
      </c>
      <c r="AR269" s="113">
        <f t="shared" si="286"/>
        <v>0.11675604628386031</v>
      </c>
      <c r="AS269" s="113">
        <f t="shared" si="286"/>
        <v>0.12376651560605094</v>
      </c>
      <c r="AT269" s="113">
        <f t="shared" si="286"/>
        <v>0.1420275666129156</v>
      </c>
      <c r="AU269" s="113">
        <f t="shared" si="286"/>
        <v>0.14963005920327307</v>
      </c>
      <c r="AV269" s="113">
        <f t="shared" si="286"/>
        <v>0.1185365744998393</v>
      </c>
      <c r="AW269" s="113">
        <f t="shared" si="286"/>
        <v>0.12688639573448435</v>
      </c>
      <c r="AY269" s="111" t="s">
        <v>130</v>
      </c>
      <c r="AZ269" s="179">
        <f t="shared" si="242"/>
        <v>1.7409120032454255E-2</v>
      </c>
      <c r="BA269" s="179">
        <f t="shared" si="243"/>
        <v>1.8254129133938982E-2</v>
      </c>
      <c r="BB269" s="179">
        <f t="shared" si="244"/>
        <v>1.9375342465753426E-2</v>
      </c>
      <c r="BC269" s="179">
        <f t="shared" si="245"/>
        <v>1.6579358572308162E-2</v>
      </c>
      <c r="BD269" s="179">
        <f t="shared" si="246"/>
        <v>1.9802642496968149E-2</v>
      </c>
      <c r="BE269" s="179">
        <f t="shared" si="247"/>
        <v>2.2724410658066498E-2</v>
      </c>
      <c r="BF269" s="179">
        <f t="shared" si="248"/>
        <v>2.2145248762084416E-2</v>
      </c>
      <c r="BG269" s="179">
        <f t="shared" si="249"/>
        <v>2.3470241750968183E-2</v>
      </c>
      <c r="BH269" s="179">
        <f t="shared" si="250"/>
        <v>2.3854642398083058E-2</v>
      </c>
    </row>
    <row r="270" spans="2:68" s="108" customFormat="1" x14ac:dyDescent="0.25">
      <c r="B270" s="107"/>
      <c r="E270" s="109" t="s">
        <v>4</v>
      </c>
      <c r="F270" s="110" t="s">
        <v>62</v>
      </c>
      <c r="G270" s="111" t="s">
        <v>131</v>
      </c>
      <c r="H270" s="112">
        <v>90545</v>
      </c>
      <c r="I270" s="112">
        <v>89898</v>
      </c>
      <c r="J270" s="112">
        <v>94520</v>
      </c>
      <c r="K270" s="112">
        <v>99170</v>
      </c>
      <c r="L270" s="112">
        <v>103133</v>
      </c>
      <c r="M270" s="112">
        <v>90630</v>
      </c>
      <c r="N270" s="112">
        <v>96708</v>
      </c>
      <c r="O270" s="112">
        <v>105552</v>
      </c>
      <c r="P270" s="112">
        <v>123307</v>
      </c>
      <c r="R270" s="111" t="s">
        <v>131</v>
      </c>
      <c r="S270" s="220">
        <v>4.3</v>
      </c>
      <c r="T270" s="220">
        <v>4.9000000000000004</v>
      </c>
      <c r="U270" s="220">
        <v>4.3</v>
      </c>
      <c r="V270" s="220">
        <v>3.8</v>
      </c>
      <c r="W270" s="220">
        <v>3.8</v>
      </c>
      <c r="X270" s="220">
        <v>4.8</v>
      </c>
      <c r="Y270" s="220">
        <v>3.8</v>
      </c>
      <c r="Z270" s="220">
        <v>5.5</v>
      </c>
      <c r="AA270" s="220">
        <v>4.7</v>
      </c>
      <c r="AC270" s="111" t="s">
        <v>131</v>
      </c>
      <c r="AD270" s="112">
        <f t="shared" si="254"/>
        <v>7786.87</v>
      </c>
      <c r="AE270" s="112">
        <f t="shared" si="235"/>
        <v>8810.0040000000008</v>
      </c>
      <c r="AF270" s="112">
        <f t="shared" si="236"/>
        <v>8128.72</v>
      </c>
      <c r="AG270" s="112">
        <f t="shared" si="237"/>
        <v>7536.92</v>
      </c>
      <c r="AH270" s="112">
        <f t="shared" si="238"/>
        <v>7838.1079999999993</v>
      </c>
      <c r="AI270" s="112">
        <f t="shared" si="239"/>
        <v>8700.48</v>
      </c>
      <c r="AJ270" s="112">
        <f t="shared" si="240"/>
        <v>7349.8079999999991</v>
      </c>
      <c r="AK270" s="112">
        <f t="shared" si="251"/>
        <v>11610.72</v>
      </c>
      <c r="AL270" s="112">
        <f t="shared" si="252"/>
        <v>11590.858</v>
      </c>
      <c r="AN270" s="111" t="s">
        <v>131</v>
      </c>
      <c r="AO270" s="113">
        <f t="shared" ref="AO270:AW270" si="287">H270/H266</f>
        <v>0.29152486710819053</v>
      </c>
      <c r="AP270" s="113">
        <f t="shared" si="287"/>
        <v>0.28797585946209142</v>
      </c>
      <c r="AQ270" s="113">
        <f t="shared" si="287"/>
        <v>0.30287591123928542</v>
      </c>
      <c r="AR270" s="113">
        <f t="shared" si="287"/>
        <v>0.31637513279333368</v>
      </c>
      <c r="AS270" s="113">
        <f t="shared" si="287"/>
        <v>0.32914086934320547</v>
      </c>
      <c r="AT270" s="113">
        <f t="shared" si="287"/>
        <v>0.28996774936650543</v>
      </c>
      <c r="AU270" s="113">
        <f t="shared" si="287"/>
        <v>0.30815016856044913</v>
      </c>
      <c r="AV270" s="113">
        <f t="shared" si="287"/>
        <v>0.33588651037871242</v>
      </c>
      <c r="AW270" s="113">
        <f t="shared" si="287"/>
        <v>0.39134519256708505</v>
      </c>
      <c r="AY270" s="111" t="s">
        <v>131</v>
      </c>
      <c r="AZ270" s="179">
        <f t="shared" si="242"/>
        <v>2.5071138571304386E-2</v>
      </c>
      <c r="BA270" s="179">
        <f t="shared" si="243"/>
        <v>2.8221634227284961E-2</v>
      </c>
      <c r="BB270" s="179">
        <f t="shared" si="244"/>
        <v>2.6047328366578543E-2</v>
      </c>
      <c r="BC270" s="179">
        <f t="shared" si="245"/>
        <v>2.4044510092293359E-2</v>
      </c>
      <c r="BD270" s="179">
        <f t="shared" si="246"/>
        <v>2.5014706070083614E-2</v>
      </c>
      <c r="BE270" s="179">
        <f t="shared" si="247"/>
        <v>2.7836903939184521E-2</v>
      </c>
      <c r="BF270" s="179">
        <f t="shared" si="248"/>
        <v>2.3419412810594134E-2</v>
      </c>
      <c r="BG270" s="179">
        <f t="shared" si="249"/>
        <v>3.6947516141658365E-2</v>
      </c>
      <c r="BH270" s="179">
        <f t="shared" si="250"/>
        <v>3.6786448101305998E-2</v>
      </c>
    </row>
    <row r="271" spans="2:68" s="87" customFormat="1" x14ac:dyDescent="0.25">
      <c r="B271" s="84"/>
      <c r="C271" s="85"/>
      <c r="D271" s="85"/>
      <c r="E271" s="109" t="s">
        <v>5</v>
      </c>
      <c r="F271" s="110" t="s">
        <v>62</v>
      </c>
      <c r="G271" s="195" t="s">
        <v>7</v>
      </c>
      <c r="H271" s="69">
        <v>323672</v>
      </c>
      <c r="I271" s="69">
        <v>326394</v>
      </c>
      <c r="J271" s="69">
        <v>326155</v>
      </c>
      <c r="K271" s="69">
        <v>328324</v>
      </c>
      <c r="L271" s="69">
        <v>330621</v>
      </c>
      <c r="M271" s="69">
        <v>331249</v>
      </c>
      <c r="N271" s="69">
        <v>330000</v>
      </c>
      <c r="O271" s="69">
        <v>328735</v>
      </c>
      <c r="P271" s="69">
        <v>329663</v>
      </c>
      <c r="Q271" s="108"/>
      <c r="R271" s="195" t="s">
        <v>7</v>
      </c>
      <c r="S271" s="226">
        <v>1.8</v>
      </c>
      <c r="T271" s="226">
        <v>0.9</v>
      </c>
      <c r="U271" s="226">
        <v>1.9</v>
      </c>
      <c r="V271" s="226">
        <v>0.7</v>
      </c>
      <c r="W271" s="226">
        <v>0.8</v>
      </c>
      <c r="X271" s="226">
        <v>1</v>
      </c>
      <c r="Y271" s="226">
        <v>0.9</v>
      </c>
      <c r="Z271" s="226">
        <v>1.1000000000000001</v>
      </c>
      <c r="AA271" s="226">
        <v>1</v>
      </c>
      <c r="AC271" s="195" t="s">
        <v>7</v>
      </c>
      <c r="AD271" s="69">
        <f t="shared" si="254"/>
        <v>11652.191999999999</v>
      </c>
      <c r="AE271" s="69">
        <f t="shared" si="235"/>
        <v>5875.0920000000006</v>
      </c>
      <c r="AF271" s="69">
        <f t="shared" si="236"/>
        <v>12393.89</v>
      </c>
      <c r="AG271" s="69">
        <f t="shared" si="237"/>
        <v>4596.5360000000001</v>
      </c>
      <c r="AH271" s="69">
        <f t="shared" si="238"/>
        <v>5289.9359999999997</v>
      </c>
      <c r="AI271" s="69">
        <f t="shared" si="239"/>
        <v>6624.98</v>
      </c>
      <c r="AJ271" s="69">
        <f t="shared" si="240"/>
        <v>5940</v>
      </c>
      <c r="AK271" s="69">
        <f t="shared" si="251"/>
        <v>7232.170000000001</v>
      </c>
      <c r="AL271" s="69">
        <f t="shared" si="252"/>
        <v>6593.26</v>
      </c>
      <c r="AN271" s="195" t="s">
        <v>7</v>
      </c>
      <c r="AO271" s="98">
        <f t="shared" ref="AO271:AW271" si="288">H271/H271</f>
        <v>1</v>
      </c>
      <c r="AP271" s="98">
        <f t="shared" si="288"/>
        <v>1</v>
      </c>
      <c r="AQ271" s="98">
        <f t="shared" si="288"/>
        <v>1</v>
      </c>
      <c r="AR271" s="98">
        <f t="shared" si="288"/>
        <v>1</v>
      </c>
      <c r="AS271" s="98">
        <f t="shared" si="288"/>
        <v>1</v>
      </c>
      <c r="AT271" s="98">
        <f t="shared" si="288"/>
        <v>1</v>
      </c>
      <c r="AU271" s="98">
        <f t="shared" si="288"/>
        <v>1</v>
      </c>
      <c r="AV271" s="98">
        <f t="shared" si="288"/>
        <v>1</v>
      </c>
      <c r="AW271" s="98">
        <f t="shared" si="288"/>
        <v>1</v>
      </c>
      <c r="AX271" s="191"/>
      <c r="AY271" s="195" t="s">
        <v>7</v>
      </c>
      <c r="AZ271" s="178">
        <f t="shared" si="242"/>
        <v>3.6000000000000004E-2</v>
      </c>
      <c r="BA271" s="178">
        <f t="shared" si="243"/>
        <v>1.8000000000000002E-2</v>
      </c>
      <c r="BB271" s="178">
        <f t="shared" si="244"/>
        <v>3.7999999999999999E-2</v>
      </c>
      <c r="BC271" s="178">
        <f t="shared" si="245"/>
        <v>1.3999999999999999E-2</v>
      </c>
      <c r="BD271" s="178">
        <f t="shared" si="246"/>
        <v>1.6E-2</v>
      </c>
      <c r="BE271" s="178">
        <f t="shared" si="247"/>
        <v>0.02</v>
      </c>
      <c r="BF271" s="178">
        <f t="shared" si="248"/>
        <v>1.8000000000000002E-2</v>
      </c>
      <c r="BG271" s="178">
        <f t="shared" si="249"/>
        <v>2.2000000000000002E-2</v>
      </c>
      <c r="BH271" s="178">
        <f t="shared" si="250"/>
        <v>0.02</v>
      </c>
      <c r="BI271" s="191"/>
      <c r="BJ271" s="191"/>
      <c r="BK271" s="191"/>
      <c r="BL271" s="191"/>
      <c r="BM271" s="191"/>
      <c r="BN271" s="191"/>
      <c r="BO271" s="191"/>
      <c r="BP271" s="191"/>
    </row>
    <row r="272" spans="2:68" s="108" customFormat="1" x14ac:dyDescent="0.25">
      <c r="B272" s="107"/>
      <c r="E272" s="109" t="s">
        <v>5</v>
      </c>
      <c r="F272" s="110" t="s">
        <v>62</v>
      </c>
      <c r="G272" s="111" t="s">
        <v>54</v>
      </c>
      <c r="H272" s="112">
        <v>80489</v>
      </c>
      <c r="I272" s="112">
        <v>80152</v>
      </c>
      <c r="J272" s="112">
        <v>66211</v>
      </c>
      <c r="K272" s="112">
        <v>70979</v>
      </c>
      <c r="L272" s="112">
        <v>65545</v>
      </c>
      <c r="M272" s="112">
        <v>71026</v>
      </c>
      <c r="N272" s="112">
        <v>62134</v>
      </c>
      <c r="O272" s="112">
        <v>58278</v>
      </c>
      <c r="P272" s="112">
        <v>41309</v>
      </c>
      <c r="R272" s="111" t="s">
        <v>54</v>
      </c>
      <c r="S272" s="220">
        <v>4.5</v>
      </c>
      <c r="T272" s="220">
        <v>5.0999999999999996</v>
      </c>
      <c r="U272" s="220">
        <v>5.4</v>
      </c>
      <c r="V272" s="220">
        <v>4.7</v>
      </c>
      <c r="W272" s="220">
        <v>5.6</v>
      </c>
      <c r="X272" s="220">
        <v>5.8</v>
      </c>
      <c r="Y272" s="220">
        <v>6.1</v>
      </c>
      <c r="Z272" s="220">
        <v>7.9</v>
      </c>
      <c r="AA272" s="220">
        <v>8.8000000000000007</v>
      </c>
      <c r="AC272" s="111" t="s">
        <v>54</v>
      </c>
      <c r="AD272" s="112">
        <f t="shared" si="254"/>
        <v>7244.01</v>
      </c>
      <c r="AE272" s="112">
        <f t="shared" si="235"/>
        <v>8175.503999999999</v>
      </c>
      <c r="AF272" s="112">
        <f t="shared" si="236"/>
        <v>7150.7880000000005</v>
      </c>
      <c r="AG272" s="112">
        <f t="shared" si="237"/>
        <v>6672.0259999999998</v>
      </c>
      <c r="AH272" s="112">
        <f t="shared" si="238"/>
        <v>7341.04</v>
      </c>
      <c r="AI272" s="112">
        <f t="shared" si="239"/>
        <v>8239.0159999999996</v>
      </c>
      <c r="AJ272" s="112">
        <f t="shared" si="240"/>
        <v>7580.347999999999</v>
      </c>
      <c r="AK272" s="112">
        <f t="shared" si="251"/>
        <v>9207.9240000000009</v>
      </c>
      <c r="AL272" s="112">
        <f t="shared" si="252"/>
        <v>7270.384</v>
      </c>
      <c r="AN272" s="111" t="s">
        <v>54</v>
      </c>
      <c r="AO272" s="113">
        <f t="shared" ref="AO272:AW272" si="289">H272/H271</f>
        <v>0.24867458414691415</v>
      </c>
      <c r="AP272" s="113">
        <f t="shared" si="289"/>
        <v>0.24556823961224777</v>
      </c>
      <c r="AQ272" s="113">
        <f t="shared" si="289"/>
        <v>0.20300470635127471</v>
      </c>
      <c r="AR272" s="113">
        <f t="shared" si="289"/>
        <v>0.21618584081577955</v>
      </c>
      <c r="AS272" s="113">
        <f t="shared" si="289"/>
        <v>0.19824814515714367</v>
      </c>
      <c r="AT272" s="113">
        <f t="shared" si="289"/>
        <v>0.21441876050946568</v>
      </c>
      <c r="AU272" s="113">
        <f t="shared" si="289"/>
        <v>0.18828484848484847</v>
      </c>
      <c r="AV272" s="113">
        <f t="shared" si="289"/>
        <v>0.17727957169148403</v>
      </c>
      <c r="AW272" s="113">
        <f t="shared" si="289"/>
        <v>0.12530675265346733</v>
      </c>
      <c r="AY272" s="111" t="s">
        <v>54</v>
      </c>
      <c r="AZ272" s="179">
        <f t="shared" si="242"/>
        <v>2.2380712573222272E-2</v>
      </c>
      <c r="BA272" s="179">
        <f t="shared" si="243"/>
        <v>2.5047960440449272E-2</v>
      </c>
      <c r="BB272" s="179">
        <f t="shared" si="244"/>
        <v>2.1924508285937668E-2</v>
      </c>
      <c r="BC272" s="179">
        <f t="shared" si="245"/>
        <v>2.0321469036683276E-2</v>
      </c>
      <c r="BD272" s="179">
        <f t="shared" si="246"/>
        <v>2.2203792257600087E-2</v>
      </c>
      <c r="BE272" s="179">
        <f t="shared" si="247"/>
        <v>2.4872576219098018E-2</v>
      </c>
      <c r="BF272" s="179">
        <f t="shared" si="248"/>
        <v>2.2970751515151509E-2</v>
      </c>
      <c r="BG272" s="179">
        <f t="shared" si="249"/>
        <v>2.8010172327254477E-2</v>
      </c>
      <c r="BH272" s="179">
        <f t="shared" si="250"/>
        <v>2.205398846701025E-2</v>
      </c>
    </row>
    <row r="273" spans="2:68" s="108" customFormat="1" x14ac:dyDescent="0.25">
      <c r="B273" s="107"/>
      <c r="E273" s="109" t="s">
        <v>5</v>
      </c>
      <c r="F273" s="110" t="s">
        <v>62</v>
      </c>
      <c r="G273" s="111" t="s">
        <v>55</v>
      </c>
      <c r="H273" s="70">
        <v>76040</v>
      </c>
      <c r="I273" s="70">
        <v>76341</v>
      </c>
      <c r="J273" s="70">
        <v>87061</v>
      </c>
      <c r="K273" s="70">
        <v>82139</v>
      </c>
      <c r="L273" s="70">
        <v>83176</v>
      </c>
      <c r="M273" s="70">
        <v>92342</v>
      </c>
      <c r="N273" s="70">
        <v>87735</v>
      </c>
      <c r="O273" s="112">
        <v>81507</v>
      </c>
      <c r="P273" s="112">
        <v>86048</v>
      </c>
      <c r="R273" s="111" t="s">
        <v>55</v>
      </c>
      <c r="S273" s="81">
        <v>4.7</v>
      </c>
      <c r="T273" s="81">
        <v>5.3</v>
      </c>
      <c r="U273" s="81">
        <v>4.7</v>
      </c>
      <c r="V273" s="81">
        <v>4.5</v>
      </c>
      <c r="W273" s="81">
        <v>5.2</v>
      </c>
      <c r="X273" s="81">
        <v>5.2</v>
      </c>
      <c r="Y273" s="81">
        <v>5.3</v>
      </c>
      <c r="Z273" s="81">
        <v>6.4</v>
      </c>
      <c r="AA273" s="81">
        <v>5.9</v>
      </c>
      <c r="AC273" s="111" t="s">
        <v>55</v>
      </c>
      <c r="AD273" s="70">
        <f t="shared" si="254"/>
        <v>7147.76</v>
      </c>
      <c r="AE273" s="70">
        <f t="shared" si="235"/>
        <v>8092.1459999999997</v>
      </c>
      <c r="AF273" s="70">
        <f t="shared" si="236"/>
        <v>8183.7340000000004</v>
      </c>
      <c r="AG273" s="70">
        <f t="shared" si="237"/>
        <v>7392.51</v>
      </c>
      <c r="AH273" s="70">
        <f t="shared" si="238"/>
        <v>8650.3040000000001</v>
      </c>
      <c r="AI273" s="70">
        <f t="shared" si="239"/>
        <v>9603.5680000000011</v>
      </c>
      <c r="AJ273" s="70">
        <f t="shared" si="240"/>
        <v>9299.91</v>
      </c>
      <c r="AK273" s="70">
        <f t="shared" si="251"/>
        <v>10432.896000000001</v>
      </c>
      <c r="AL273" s="70">
        <f t="shared" si="252"/>
        <v>10153.664000000001</v>
      </c>
      <c r="AN273" s="111" t="s">
        <v>55</v>
      </c>
      <c r="AO273" s="113">
        <f t="shared" ref="AO273:AW273" si="290">H273/H271</f>
        <v>0.23492918757260436</v>
      </c>
      <c r="AP273" s="113">
        <f t="shared" si="290"/>
        <v>0.23389216713542529</v>
      </c>
      <c r="AQ273" s="113">
        <f t="shared" si="290"/>
        <v>0.2669313669880885</v>
      </c>
      <c r="AR273" s="113">
        <f t="shared" si="290"/>
        <v>0.25017665476785128</v>
      </c>
      <c r="AS273" s="113">
        <f t="shared" si="290"/>
        <v>0.25157506631460191</v>
      </c>
      <c r="AT273" s="113">
        <f t="shared" si="290"/>
        <v>0.27876914345401799</v>
      </c>
      <c r="AU273" s="113">
        <f t="shared" si="290"/>
        <v>0.26586363636363636</v>
      </c>
      <c r="AV273" s="113">
        <f t="shared" si="290"/>
        <v>0.2479413509361644</v>
      </c>
      <c r="AW273" s="113">
        <f t="shared" si="290"/>
        <v>0.26101806996842231</v>
      </c>
      <c r="AY273" s="111" t="s">
        <v>55</v>
      </c>
      <c r="AZ273" s="179">
        <f t="shared" si="242"/>
        <v>2.2083343631824813E-2</v>
      </c>
      <c r="BA273" s="179">
        <f t="shared" si="243"/>
        <v>2.479256971635508E-2</v>
      </c>
      <c r="BB273" s="179">
        <f t="shared" si="244"/>
        <v>2.509154849688032E-2</v>
      </c>
      <c r="BC273" s="179">
        <f t="shared" si="245"/>
        <v>2.2515898929106614E-2</v>
      </c>
      <c r="BD273" s="179">
        <f t="shared" si="246"/>
        <v>2.61638068967186E-2</v>
      </c>
      <c r="BE273" s="179">
        <f t="shared" si="247"/>
        <v>2.8991990919217874E-2</v>
      </c>
      <c r="BF273" s="179">
        <f t="shared" si="248"/>
        <v>2.8181545454545452E-2</v>
      </c>
      <c r="BG273" s="179">
        <f t="shared" si="249"/>
        <v>3.1736492919829044E-2</v>
      </c>
      <c r="BH273" s="179">
        <f t="shared" si="250"/>
        <v>3.0800132256273836E-2</v>
      </c>
    </row>
    <row r="274" spans="2:68" s="108" customFormat="1" x14ac:dyDescent="0.25">
      <c r="B274" s="107"/>
      <c r="E274" s="109" t="s">
        <v>5</v>
      </c>
      <c r="F274" s="110" t="s">
        <v>62</v>
      </c>
      <c r="G274" s="111" t="s">
        <v>130</v>
      </c>
      <c r="H274" s="70">
        <v>41621</v>
      </c>
      <c r="I274" s="70">
        <v>46049</v>
      </c>
      <c r="J274" s="70">
        <v>37286</v>
      </c>
      <c r="K274" s="70">
        <v>36640</v>
      </c>
      <c r="L274" s="70">
        <v>46496</v>
      </c>
      <c r="M274" s="70">
        <v>37702</v>
      </c>
      <c r="N274" s="70">
        <v>44058</v>
      </c>
      <c r="O274" s="112">
        <v>40218</v>
      </c>
      <c r="P274" s="112">
        <v>42777</v>
      </c>
      <c r="R274" s="111" t="s">
        <v>130</v>
      </c>
      <c r="S274" s="220">
        <v>6.6</v>
      </c>
      <c r="T274" s="220">
        <v>7</v>
      </c>
      <c r="U274" s="220">
        <v>7.6</v>
      </c>
      <c r="V274" s="220">
        <v>7.1</v>
      </c>
      <c r="W274" s="220">
        <v>7.1</v>
      </c>
      <c r="X274" s="220">
        <v>8.6</v>
      </c>
      <c r="Y274" s="220">
        <v>7.9</v>
      </c>
      <c r="Z274" s="220">
        <v>9.3000000000000007</v>
      </c>
      <c r="AA274" s="220">
        <v>8.8000000000000007</v>
      </c>
      <c r="AC274" s="111" t="s">
        <v>130</v>
      </c>
      <c r="AD274" s="70">
        <f t="shared" si="254"/>
        <v>5493.9719999999998</v>
      </c>
      <c r="AE274" s="70">
        <f t="shared" si="235"/>
        <v>6446.86</v>
      </c>
      <c r="AF274" s="70">
        <f t="shared" si="236"/>
        <v>5667.4719999999998</v>
      </c>
      <c r="AG274" s="70">
        <f t="shared" si="237"/>
        <v>5202.88</v>
      </c>
      <c r="AH274" s="70">
        <f t="shared" si="238"/>
        <v>6602.4319999999998</v>
      </c>
      <c r="AI274" s="70">
        <f t="shared" si="239"/>
        <v>6484.7440000000006</v>
      </c>
      <c r="AJ274" s="70">
        <f t="shared" si="240"/>
        <v>6961.1640000000007</v>
      </c>
      <c r="AK274" s="70">
        <f t="shared" si="251"/>
        <v>7480.5480000000007</v>
      </c>
      <c r="AL274" s="70">
        <f t="shared" si="252"/>
        <v>7528.7520000000004</v>
      </c>
      <c r="AN274" s="111" t="s">
        <v>130</v>
      </c>
      <c r="AO274" s="113">
        <f t="shared" ref="AO274:AW274" si="291">H274/H271</f>
        <v>0.1285900541288712</v>
      </c>
      <c r="AP274" s="113">
        <f t="shared" si="291"/>
        <v>0.14108408855554944</v>
      </c>
      <c r="AQ274" s="113">
        <f t="shared" si="291"/>
        <v>0.1143198785853352</v>
      </c>
      <c r="AR274" s="113">
        <f t="shared" si="291"/>
        <v>0.11159708093224985</v>
      </c>
      <c r="AS274" s="113">
        <f t="shared" si="291"/>
        <v>0.14063232523039976</v>
      </c>
      <c r="AT274" s="113">
        <f t="shared" si="291"/>
        <v>0.11381770209117613</v>
      </c>
      <c r="AU274" s="113">
        <f t="shared" si="291"/>
        <v>0.13350909090909091</v>
      </c>
      <c r="AV274" s="113">
        <f t="shared" si="291"/>
        <v>0.12234170380397584</v>
      </c>
      <c r="AW274" s="113">
        <f t="shared" si="291"/>
        <v>0.129759784992553</v>
      </c>
      <c r="AY274" s="111" t="s">
        <v>130</v>
      </c>
      <c r="AZ274" s="179">
        <f t="shared" si="242"/>
        <v>1.6973887145010996E-2</v>
      </c>
      <c r="BA274" s="179">
        <f t="shared" si="243"/>
        <v>1.975177239777692E-2</v>
      </c>
      <c r="BB274" s="179">
        <f t="shared" si="244"/>
        <v>1.7376621544970949E-2</v>
      </c>
      <c r="BC274" s="179">
        <f t="shared" si="245"/>
        <v>1.584678549237948E-2</v>
      </c>
      <c r="BD274" s="179">
        <f t="shared" si="246"/>
        <v>1.9969790182716763E-2</v>
      </c>
      <c r="BE274" s="179">
        <f t="shared" si="247"/>
        <v>1.9576644759682293E-2</v>
      </c>
      <c r="BF274" s="179">
        <f t="shared" si="248"/>
        <v>2.1094436363636365E-2</v>
      </c>
      <c r="BG274" s="179">
        <f t="shared" si="249"/>
        <v>2.2755556907539509E-2</v>
      </c>
      <c r="BH274" s="179">
        <f t="shared" si="250"/>
        <v>2.283772215868933E-2</v>
      </c>
    </row>
    <row r="275" spans="2:68" s="108" customFormat="1" x14ac:dyDescent="0.25">
      <c r="B275" s="107"/>
      <c r="E275" s="109" t="s">
        <v>5</v>
      </c>
      <c r="F275" s="110" t="s">
        <v>62</v>
      </c>
      <c r="G275" s="111" t="s">
        <v>131</v>
      </c>
      <c r="H275" s="112">
        <v>125068</v>
      </c>
      <c r="I275" s="112">
        <v>123088</v>
      </c>
      <c r="J275" s="112">
        <v>134695</v>
      </c>
      <c r="K275" s="112">
        <v>137877</v>
      </c>
      <c r="L275" s="112">
        <v>133463</v>
      </c>
      <c r="M275" s="112">
        <v>129409</v>
      </c>
      <c r="N275" s="112">
        <v>133641</v>
      </c>
      <c r="O275" s="112">
        <v>148732</v>
      </c>
      <c r="P275" s="112">
        <v>159530</v>
      </c>
      <c r="R275" s="111" t="s">
        <v>131</v>
      </c>
      <c r="S275" s="220">
        <v>3.5</v>
      </c>
      <c r="T275" s="220">
        <v>4.4000000000000004</v>
      </c>
      <c r="U275" s="220">
        <v>3.8</v>
      </c>
      <c r="V275" s="220">
        <v>2.8</v>
      </c>
      <c r="W275" s="220">
        <v>3.2</v>
      </c>
      <c r="X275" s="220">
        <v>3.5</v>
      </c>
      <c r="Y275" s="220">
        <v>3.2</v>
      </c>
      <c r="Z275" s="220">
        <v>5</v>
      </c>
      <c r="AA275" s="220">
        <v>4.2</v>
      </c>
      <c r="AC275" s="111" t="s">
        <v>131</v>
      </c>
      <c r="AD275" s="112">
        <f t="shared" si="254"/>
        <v>8754.76</v>
      </c>
      <c r="AE275" s="112">
        <f t="shared" si="235"/>
        <v>10831.744000000001</v>
      </c>
      <c r="AF275" s="112">
        <f t="shared" si="236"/>
        <v>10236.82</v>
      </c>
      <c r="AG275" s="112">
        <f t="shared" si="237"/>
        <v>7721.1119999999992</v>
      </c>
      <c r="AH275" s="112">
        <f t="shared" si="238"/>
        <v>8541.6320000000014</v>
      </c>
      <c r="AI275" s="112">
        <f t="shared" si="239"/>
        <v>9058.6299999999992</v>
      </c>
      <c r="AJ275" s="112">
        <f t="shared" si="240"/>
        <v>8553.0239999999994</v>
      </c>
      <c r="AK275" s="112">
        <f t="shared" si="251"/>
        <v>14873.2</v>
      </c>
      <c r="AL275" s="112">
        <f t="shared" si="252"/>
        <v>13400.52</v>
      </c>
      <c r="AN275" s="111" t="s">
        <v>131</v>
      </c>
      <c r="AO275" s="113">
        <f t="shared" ref="AO275:AW275" si="292">H275/H271</f>
        <v>0.38640351961244718</v>
      </c>
      <c r="AP275" s="113">
        <f t="shared" si="292"/>
        <v>0.37711477539415555</v>
      </c>
      <c r="AQ275" s="113">
        <f t="shared" si="292"/>
        <v>0.41297849182137325</v>
      </c>
      <c r="AR275" s="113">
        <f t="shared" si="292"/>
        <v>0.41994188667292065</v>
      </c>
      <c r="AS275" s="113">
        <f t="shared" si="292"/>
        <v>0.40367369283862792</v>
      </c>
      <c r="AT275" s="113">
        <f t="shared" si="292"/>
        <v>0.3906698586259883</v>
      </c>
      <c r="AU275" s="113">
        <f t="shared" si="292"/>
        <v>0.40497272727272726</v>
      </c>
      <c r="AV275" s="113">
        <f t="shared" si="292"/>
        <v>0.45243737356837577</v>
      </c>
      <c r="AW275" s="113">
        <f t="shared" si="292"/>
        <v>0.48391842578633332</v>
      </c>
      <c r="AY275" s="111" t="s">
        <v>131</v>
      </c>
      <c r="AZ275" s="179">
        <f t="shared" si="242"/>
        <v>2.7048246372871301E-2</v>
      </c>
      <c r="BA275" s="179">
        <f t="shared" si="243"/>
        <v>3.3186100234685691E-2</v>
      </c>
      <c r="BB275" s="179">
        <f t="shared" si="244"/>
        <v>3.1386365378424361E-2</v>
      </c>
      <c r="BC275" s="179">
        <f t="shared" si="245"/>
        <v>2.3516745653683554E-2</v>
      </c>
      <c r="BD275" s="179">
        <f t="shared" si="246"/>
        <v>2.5835116341672189E-2</v>
      </c>
      <c r="BE275" s="179">
        <f t="shared" si="247"/>
        <v>2.7346890103819178E-2</v>
      </c>
      <c r="BF275" s="179">
        <f t="shared" si="248"/>
        <v>2.5918254545454548E-2</v>
      </c>
      <c r="BG275" s="179">
        <f t="shared" si="249"/>
        <v>4.5243737356837579E-2</v>
      </c>
      <c r="BH275" s="179">
        <f t="shared" si="250"/>
        <v>4.0649147766051996E-2</v>
      </c>
    </row>
    <row r="276" spans="2:68" x14ac:dyDescent="0.3">
      <c r="H276" s="122" t="s">
        <v>122</v>
      </c>
      <c r="I276" s="122">
        <v>2003</v>
      </c>
      <c r="J276" s="122">
        <v>2005</v>
      </c>
      <c r="K276" s="122" t="s">
        <v>123</v>
      </c>
      <c r="L276" s="122" t="s">
        <v>124</v>
      </c>
      <c r="M276" s="122" t="s">
        <v>125</v>
      </c>
      <c r="N276" s="122" t="s">
        <v>126</v>
      </c>
      <c r="O276" s="122" t="s">
        <v>127</v>
      </c>
      <c r="P276" s="122" t="s">
        <v>128</v>
      </c>
      <c r="R276" s="111"/>
      <c r="S276" s="120" t="s">
        <v>122</v>
      </c>
      <c r="T276" s="121">
        <v>2003</v>
      </c>
      <c r="U276" s="121">
        <v>2005</v>
      </c>
      <c r="V276" s="122" t="s">
        <v>123</v>
      </c>
      <c r="W276" s="122" t="s">
        <v>124</v>
      </c>
      <c r="X276" s="122" t="s">
        <v>125</v>
      </c>
      <c r="Y276" s="122" t="s">
        <v>126</v>
      </c>
      <c r="Z276" s="122" t="s">
        <v>127</v>
      </c>
      <c r="AA276" s="122" t="s">
        <v>128</v>
      </c>
      <c r="AC276" s="197" t="s">
        <v>8</v>
      </c>
      <c r="AD276" s="120" t="s">
        <v>122</v>
      </c>
      <c r="AE276" s="121">
        <v>2003</v>
      </c>
      <c r="AF276" s="121">
        <v>2005</v>
      </c>
      <c r="AG276" s="122" t="s">
        <v>123</v>
      </c>
      <c r="AH276" s="122" t="s">
        <v>124</v>
      </c>
      <c r="AI276" s="122" t="s">
        <v>125</v>
      </c>
      <c r="AJ276" s="122" t="s">
        <v>126</v>
      </c>
      <c r="AK276" s="122" t="s">
        <v>127</v>
      </c>
      <c r="AL276" s="122" t="s">
        <v>128</v>
      </c>
      <c r="AN276" s="197" t="s">
        <v>8</v>
      </c>
      <c r="AO276" s="120" t="s">
        <v>122</v>
      </c>
      <c r="AP276" s="121">
        <v>2003</v>
      </c>
      <c r="AQ276" s="121">
        <v>2005</v>
      </c>
      <c r="AR276" s="122" t="s">
        <v>123</v>
      </c>
      <c r="AS276" s="122" t="s">
        <v>124</v>
      </c>
      <c r="AT276" s="122" t="s">
        <v>125</v>
      </c>
      <c r="AU276" s="122" t="s">
        <v>126</v>
      </c>
      <c r="AV276" s="122" t="s">
        <v>127</v>
      </c>
      <c r="AW276" s="122" t="s">
        <v>128</v>
      </c>
      <c r="AY276" s="197" t="s">
        <v>8</v>
      </c>
      <c r="AZ276" s="120" t="s">
        <v>122</v>
      </c>
      <c r="BA276" s="121">
        <v>2003</v>
      </c>
      <c r="BB276" s="121">
        <v>2005</v>
      </c>
      <c r="BC276" s="122" t="s">
        <v>123</v>
      </c>
      <c r="BD276" s="122" t="s">
        <v>124</v>
      </c>
      <c r="BE276" s="122" t="s">
        <v>125</v>
      </c>
      <c r="BF276" s="122" t="s">
        <v>126</v>
      </c>
      <c r="BG276" s="122" t="s">
        <v>127</v>
      </c>
      <c r="BH276" s="122" t="s">
        <v>128</v>
      </c>
    </row>
    <row r="277" spans="2:68" s="87" customFormat="1" x14ac:dyDescent="0.25">
      <c r="B277" s="84"/>
      <c r="C277" s="85"/>
      <c r="D277" s="85"/>
      <c r="E277" s="109" t="s">
        <v>0</v>
      </c>
      <c r="F277" s="110" t="s">
        <v>63</v>
      </c>
      <c r="G277" s="195" t="s">
        <v>7</v>
      </c>
      <c r="H277" s="69">
        <v>718931</v>
      </c>
      <c r="I277" s="69">
        <v>724460</v>
      </c>
      <c r="J277" s="69">
        <v>746857</v>
      </c>
      <c r="K277" s="69">
        <v>751090</v>
      </c>
      <c r="L277" s="69">
        <v>745388</v>
      </c>
      <c r="M277" s="69">
        <v>711883</v>
      </c>
      <c r="N277" s="69">
        <v>676378</v>
      </c>
      <c r="O277" s="69">
        <v>675729</v>
      </c>
      <c r="P277" s="69">
        <v>636217</v>
      </c>
      <c r="R277" s="195" t="s">
        <v>7</v>
      </c>
      <c r="S277" s="226">
        <v>0.9</v>
      </c>
      <c r="T277" s="226">
        <v>0.8</v>
      </c>
      <c r="U277" s="226">
        <v>0.8</v>
      </c>
      <c r="V277" s="226">
        <v>0.9</v>
      </c>
      <c r="W277" s="226">
        <v>1.3</v>
      </c>
      <c r="X277" s="226">
        <v>1.1000000000000001</v>
      </c>
      <c r="Y277" s="226">
        <v>1.1000000000000001</v>
      </c>
      <c r="Z277" s="226">
        <v>1.2</v>
      </c>
      <c r="AA277" s="226">
        <v>1.2</v>
      </c>
      <c r="AC277" s="195" t="s">
        <v>7</v>
      </c>
      <c r="AD277" s="69">
        <f>2*(H277*S277/100)</f>
        <v>12940.758</v>
      </c>
      <c r="AE277" s="69">
        <f t="shared" ref="AE277:AE316" si="293">2*(I277*T277/100)</f>
        <v>11591.36</v>
      </c>
      <c r="AF277" s="69">
        <f t="shared" ref="AF277:AF316" si="294">2*(J277*U277/100)</f>
        <v>11949.712</v>
      </c>
      <c r="AG277" s="69">
        <f t="shared" ref="AG277:AG316" si="295">2*(K277*V277/100)</f>
        <v>13519.62</v>
      </c>
      <c r="AH277" s="69">
        <f t="shared" ref="AH277:AH316" si="296">2*(L277*W277/100)</f>
        <v>19380.088</v>
      </c>
      <c r="AI277" s="69">
        <f t="shared" ref="AI277:AI316" si="297">2*(M277*X277/100)</f>
        <v>15661.426000000001</v>
      </c>
      <c r="AJ277" s="69">
        <f t="shared" ref="AJ277:AJ316" si="298">2*(N277*Y277/100)</f>
        <v>14880.316000000001</v>
      </c>
      <c r="AK277" s="69">
        <f>2*(O277*Z277/100)</f>
        <v>16217.495999999999</v>
      </c>
      <c r="AL277" s="69">
        <f>2*(P277*AA277/100)</f>
        <v>15269.208000000001</v>
      </c>
      <c r="AN277" s="195" t="s">
        <v>7</v>
      </c>
      <c r="AO277" s="98">
        <f t="shared" ref="AO277:AW277" si="299">H277/H277</f>
        <v>1</v>
      </c>
      <c r="AP277" s="98">
        <f t="shared" si="299"/>
        <v>1</v>
      </c>
      <c r="AQ277" s="98">
        <f t="shared" si="299"/>
        <v>1</v>
      </c>
      <c r="AR277" s="98">
        <f t="shared" si="299"/>
        <v>1</v>
      </c>
      <c r="AS277" s="98">
        <f t="shared" si="299"/>
        <v>1</v>
      </c>
      <c r="AT277" s="98">
        <f t="shared" si="299"/>
        <v>1</v>
      </c>
      <c r="AU277" s="98">
        <f t="shared" si="299"/>
        <v>1</v>
      </c>
      <c r="AV277" s="98">
        <f t="shared" si="299"/>
        <v>1</v>
      </c>
      <c r="AW277" s="98">
        <f t="shared" si="299"/>
        <v>1</v>
      </c>
      <c r="AX277" s="191"/>
      <c r="AY277" s="195" t="s">
        <v>7</v>
      </c>
      <c r="AZ277" s="178">
        <f t="shared" ref="AZ277:AZ316" si="300">2*(S277*AO277/100)</f>
        <v>1.8000000000000002E-2</v>
      </c>
      <c r="BA277" s="178">
        <f t="shared" ref="BA277:BA316" si="301">2*(T277*AP277/100)</f>
        <v>1.6E-2</v>
      </c>
      <c r="BB277" s="178">
        <f t="shared" ref="BB277:BB316" si="302">2*(U277*AQ277/100)</f>
        <v>1.6E-2</v>
      </c>
      <c r="BC277" s="178">
        <f t="shared" ref="BC277:BC316" si="303">2*(V277*AR277/100)</f>
        <v>1.8000000000000002E-2</v>
      </c>
      <c r="BD277" s="178">
        <f t="shared" ref="BD277:BD316" si="304">2*(W277*AS277/100)</f>
        <v>2.6000000000000002E-2</v>
      </c>
      <c r="BE277" s="178">
        <f t="shared" ref="BE277:BE316" si="305">2*(X277*AT277/100)</f>
        <v>2.2000000000000002E-2</v>
      </c>
      <c r="BF277" s="178">
        <f t="shared" ref="BF277:BF316" si="306">2*(Y277*AU277/100)</f>
        <v>2.2000000000000002E-2</v>
      </c>
      <c r="BG277" s="178">
        <f t="shared" ref="BG277:BG316" si="307">2*(Z277*AV277/100)</f>
        <v>2.4E-2</v>
      </c>
      <c r="BH277" s="178">
        <f t="shared" ref="BH277:BH316" si="308">2*(AA277*AW277/100)</f>
        <v>2.4E-2</v>
      </c>
      <c r="BI277" s="191"/>
      <c r="BJ277" s="191"/>
      <c r="BK277" s="191"/>
      <c r="BL277" s="191"/>
      <c r="BM277" s="191"/>
      <c r="BN277" s="191"/>
      <c r="BO277" s="191"/>
      <c r="BP277" s="191"/>
    </row>
    <row r="278" spans="2:68" s="108" customFormat="1" x14ac:dyDescent="0.25">
      <c r="B278" s="107"/>
      <c r="E278" s="109" t="s">
        <v>0</v>
      </c>
      <c r="F278" s="110" t="s">
        <v>63</v>
      </c>
      <c r="G278" s="111" t="s">
        <v>54</v>
      </c>
      <c r="H278" s="112">
        <v>191119</v>
      </c>
      <c r="I278" s="112">
        <v>145270</v>
      </c>
      <c r="J278" s="112">
        <v>124292</v>
      </c>
      <c r="K278" s="112">
        <v>115844</v>
      </c>
      <c r="L278" s="112">
        <v>115313</v>
      </c>
      <c r="M278" s="112">
        <v>101114</v>
      </c>
      <c r="N278" s="112">
        <v>76450</v>
      </c>
      <c r="O278" s="112">
        <v>56179</v>
      </c>
      <c r="P278" s="112">
        <v>52429</v>
      </c>
      <c r="R278" s="111" t="s">
        <v>54</v>
      </c>
      <c r="S278" s="220">
        <v>5.4</v>
      </c>
      <c r="T278" s="220">
        <v>6.6</v>
      </c>
      <c r="U278" s="220">
        <v>6.4</v>
      </c>
      <c r="V278" s="220">
        <v>7</v>
      </c>
      <c r="W278" s="220">
        <v>8.5</v>
      </c>
      <c r="X278" s="220">
        <v>8.6</v>
      </c>
      <c r="Y278" s="220">
        <v>10.5</v>
      </c>
      <c r="Z278" s="220">
        <v>11.3</v>
      </c>
      <c r="AA278" s="220">
        <v>11.5</v>
      </c>
      <c r="AC278" s="111" t="s">
        <v>54</v>
      </c>
      <c r="AD278" s="112">
        <f>2*(H278*S278/100)</f>
        <v>20640.852000000003</v>
      </c>
      <c r="AE278" s="112">
        <f t="shared" si="293"/>
        <v>19175.64</v>
      </c>
      <c r="AF278" s="112">
        <f t="shared" si="294"/>
        <v>15909.376</v>
      </c>
      <c r="AG278" s="112">
        <f t="shared" si="295"/>
        <v>16218.16</v>
      </c>
      <c r="AH278" s="112">
        <f t="shared" si="296"/>
        <v>19603.21</v>
      </c>
      <c r="AI278" s="112">
        <f t="shared" si="297"/>
        <v>17391.607999999997</v>
      </c>
      <c r="AJ278" s="112">
        <f t="shared" si="298"/>
        <v>16054.5</v>
      </c>
      <c r="AK278" s="112">
        <f t="shared" ref="AK278:AK316" si="309">2*(O278*Z278/100)</f>
        <v>12696.454000000002</v>
      </c>
      <c r="AL278" s="112">
        <f t="shared" ref="AL278:AL316" si="310">2*(P278*AA278/100)</f>
        <v>12058.67</v>
      </c>
      <c r="AN278" s="111" t="s">
        <v>54</v>
      </c>
      <c r="AO278" s="113">
        <f t="shared" ref="AO278:AW278" si="311">H278/H277</f>
        <v>0.26583775077163174</v>
      </c>
      <c r="AP278" s="113">
        <f t="shared" si="311"/>
        <v>0.20052176793749826</v>
      </c>
      <c r="AQ278" s="113">
        <f t="shared" si="311"/>
        <v>0.16642007773911205</v>
      </c>
      <c r="AR278" s="113">
        <f t="shared" si="311"/>
        <v>0.15423451250848766</v>
      </c>
      <c r="AS278" s="113">
        <f t="shared" si="311"/>
        <v>0.15470198071340027</v>
      </c>
      <c r="AT278" s="113">
        <f t="shared" si="311"/>
        <v>0.14203738535686342</v>
      </c>
      <c r="AU278" s="113">
        <f t="shared" si="311"/>
        <v>0.11302851364178018</v>
      </c>
      <c r="AV278" s="113">
        <f t="shared" si="311"/>
        <v>8.3138358720729763E-2</v>
      </c>
      <c r="AW278" s="113">
        <f t="shared" si="311"/>
        <v>8.2407417594940094E-2</v>
      </c>
      <c r="AY278" s="111" t="s">
        <v>54</v>
      </c>
      <c r="AZ278" s="179">
        <f t="shared" si="300"/>
        <v>2.8710477083336232E-2</v>
      </c>
      <c r="BA278" s="179">
        <f t="shared" si="301"/>
        <v>2.6468873367749769E-2</v>
      </c>
      <c r="BB278" s="179">
        <f t="shared" si="302"/>
        <v>2.1301769950606345E-2</v>
      </c>
      <c r="BC278" s="179">
        <f t="shared" si="303"/>
        <v>2.1592831751188271E-2</v>
      </c>
      <c r="BD278" s="179">
        <f t="shared" si="304"/>
        <v>2.6299336721278047E-2</v>
      </c>
      <c r="BE278" s="179">
        <f t="shared" si="305"/>
        <v>2.4430430281380509E-2</v>
      </c>
      <c r="BF278" s="179">
        <f t="shared" si="306"/>
        <v>2.3735987864773839E-2</v>
      </c>
      <c r="BG278" s="179">
        <f t="shared" si="307"/>
        <v>1.8789269070884927E-2</v>
      </c>
      <c r="BH278" s="179">
        <f t="shared" si="308"/>
        <v>1.895370604683622E-2</v>
      </c>
    </row>
    <row r="279" spans="2:68" s="108" customFormat="1" x14ac:dyDescent="0.25">
      <c r="B279" s="107"/>
      <c r="E279" s="109" t="s">
        <v>0</v>
      </c>
      <c r="F279" s="110" t="s">
        <v>63</v>
      </c>
      <c r="G279" s="111" t="s">
        <v>55</v>
      </c>
      <c r="H279" s="70">
        <v>28102</v>
      </c>
      <c r="I279" s="70">
        <v>21657</v>
      </c>
      <c r="J279" s="112">
        <v>20888</v>
      </c>
      <c r="K279" s="112">
        <v>24739</v>
      </c>
      <c r="L279" s="112">
        <v>13437</v>
      </c>
      <c r="M279" s="112">
        <v>15743</v>
      </c>
      <c r="N279" s="112">
        <v>11971</v>
      </c>
      <c r="O279" s="112" t="s">
        <v>129</v>
      </c>
      <c r="P279" s="112" t="s">
        <v>129</v>
      </c>
      <c r="R279" s="111" t="s">
        <v>55</v>
      </c>
      <c r="S279" s="81">
        <v>15.2</v>
      </c>
      <c r="T279" s="81">
        <v>17.899999999999999</v>
      </c>
      <c r="U279" s="81">
        <v>15.8</v>
      </c>
      <c r="V279" s="81">
        <v>16.600000000000001</v>
      </c>
      <c r="W279" s="81">
        <v>24.6</v>
      </c>
      <c r="X279" s="81">
        <v>23.9</v>
      </c>
      <c r="Y279" s="81">
        <v>27.6</v>
      </c>
      <c r="Z279" s="81"/>
      <c r="AA279" s="81"/>
      <c r="AC279" s="111" t="s">
        <v>55</v>
      </c>
      <c r="AD279" s="70">
        <f t="shared" ref="AD279:AD316" si="312">2*(H279*S279/100)</f>
        <v>8543.0079999999998</v>
      </c>
      <c r="AE279" s="70">
        <f t="shared" si="293"/>
        <v>7753.2060000000001</v>
      </c>
      <c r="AF279" s="70">
        <f t="shared" si="294"/>
        <v>6600.6080000000002</v>
      </c>
      <c r="AG279" s="70">
        <f t="shared" si="295"/>
        <v>8213.348</v>
      </c>
      <c r="AH279" s="70">
        <f t="shared" si="296"/>
        <v>6611.0039999999999</v>
      </c>
      <c r="AI279" s="70">
        <f t="shared" si="297"/>
        <v>7525.1539999999986</v>
      </c>
      <c r="AJ279" s="70">
        <f t="shared" si="298"/>
        <v>6607.9920000000011</v>
      </c>
      <c r="AK279" s="70" t="e">
        <f t="shared" si="309"/>
        <v>#VALUE!</v>
      </c>
      <c r="AL279" s="70" t="e">
        <f t="shared" si="310"/>
        <v>#VALUE!</v>
      </c>
      <c r="AN279" s="111" t="s">
        <v>55</v>
      </c>
      <c r="AO279" s="113">
        <f t="shared" ref="AO279:AW279" si="313">H279/H277</f>
        <v>3.908859125562815E-2</v>
      </c>
      <c r="AP279" s="113">
        <f t="shared" si="313"/>
        <v>2.9893990006349559E-2</v>
      </c>
      <c r="AQ279" s="113">
        <f t="shared" si="313"/>
        <v>2.7967870690105336E-2</v>
      </c>
      <c r="AR279" s="113">
        <f t="shared" si="313"/>
        <v>3.2937464218668867E-2</v>
      </c>
      <c r="AS279" s="113">
        <f t="shared" si="313"/>
        <v>1.8026853128840281E-2</v>
      </c>
      <c r="AT279" s="113">
        <f t="shared" si="313"/>
        <v>2.2114589054662074E-2</v>
      </c>
      <c r="AU279" s="113">
        <f t="shared" si="313"/>
        <v>1.7698683280650759E-2</v>
      </c>
      <c r="AV279" s="113" t="e">
        <f t="shared" si="313"/>
        <v>#VALUE!</v>
      </c>
      <c r="AW279" s="113" t="e">
        <f t="shared" si="313"/>
        <v>#VALUE!</v>
      </c>
      <c r="AY279" s="111" t="s">
        <v>55</v>
      </c>
      <c r="AZ279" s="179">
        <f t="shared" si="300"/>
        <v>1.1882931741710956E-2</v>
      </c>
      <c r="BA279" s="179">
        <f t="shared" si="301"/>
        <v>1.0702048422273141E-2</v>
      </c>
      <c r="BB279" s="179">
        <f t="shared" si="302"/>
        <v>8.8378471380732865E-3</v>
      </c>
      <c r="BC279" s="179">
        <f t="shared" si="303"/>
        <v>1.0935238120598066E-2</v>
      </c>
      <c r="BD279" s="179">
        <f t="shared" si="304"/>
        <v>8.8692117393894196E-3</v>
      </c>
      <c r="BE279" s="179">
        <f t="shared" si="305"/>
        <v>1.0570773568128472E-2</v>
      </c>
      <c r="BF279" s="179">
        <f t="shared" si="306"/>
        <v>9.7696731709192193E-3</v>
      </c>
      <c r="BG279" s="179" t="e">
        <f t="shared" si="307"/>
        <v>#VALUE!</v>
      </c>
      <c r="BH279" s="179" t="e">
        <f t="shared" si="308"/>
        <v>#VALUE!</v>
      </c>
    </row>
    <row r="280" spans="2:68" s="108" customFormat="1" x14ac:dyDescent="0.25">
      <c r="B280" s="107"/>
      <c r="E280" s="109" t="s">
        <v>0</v>
      </c>
      <c r="F280" s="110" t="s">
        <v>63</v>
      </c>
      <c r="G280" s="111" t="s">
        <v>130</v>
      </c>
      <c r="H280" s="70">
        <v>89046</v>
      </c>
      <c r="I280" s="70">
        <v>102194</v>
      </c>
      <c r="J280" s="70">
        <v>103312</v>
      </c>
      <c r="K280" s="70">
        <v>69598</v>
      </c>
      <c r="L280" s="70">
        <v>68608</v>
      </c>
      <c r="M280" s="70">
        <v>69374</v>
      </c>
      <c r="N280" s="70">
        <v>62568</v>
      </c>
      <c r="O280" s="112">
        <v>56278</v>
      </c>
      <c r="P280" s="112">
        <v>34889</v>
      </c>
      <c r="R280" s="111" t="s">
        <v>130</v>
      </c>
      <c r="S280" s="220">
        <v>7.9</v>
      </c>
      <c r="T280" s="220">
        <v>7.8</v>
      </c>
      <c r="U280" s="220">
        <v>6.6</v>
      </c>
      <c r="V280" s="220">
        <v>9.9</v>
      </c>
      <c r="W280" s="220">
        <v>10.8</v>
      </c>
      <c r="X280" s="220">
        <v>11.4</v>
      </c>
      <c r="Y280" s="220">
        <v>11.7</v>
      </c>
      <c r="Z280" s="220">
        <v>11.3</v>
      </c>
      <c r="AA280" s="220">
        <v>14.8</v>
      </c>
      <c r="AC280" s="111" t="s">
        <v>130</v>
      </c>
      <c r="AD280" s="70">
        <f t="shared" si="312"/>
        <v>14069.268</v>
      </c>
      <c r="AE280" s="70">
        <f t="shared" si="293"/>
        <v>15942.263999999999</v>
      </c>
      <c r="AF280" s="70">
        <f t="shared" si="294"/>
        <v>13637.183999999999</v>
      </c>
      <c r="AG280" s="70">
        <f t="shared" si="295"/>
        <v>13780.404000000002</v>
      </c>
      <c r="AH280" s="70">
        <f t="shared" si="296"/>
        <v>14819.328000000001</v>
      </c>
      <c r="AI280" s="70">
        <f t="shared" si="297"/>
        <v>15817.271999999999</v>
      </c>
      <c r="AJ280" s="70">
        <f t="shared" si="298"/>
        <v>14640.912</v>
      </c>
      <c r="AK280" s="70">
        <f t="shared" si="309"/>
        <v>12718.828000000001</v>
      </c>
      <c r="AL280" s="70">
        <f t="shared" si="310"/>
        <v>10327.144</v>
      </c>
      <c r="AN280" s="111" t="s">
        <v>130</v>
      </c>
      <c r="AO280" s="113">
        <f t="shared" ref="AO280:AW280" si="314">H280/H277</f>
        <v>0.12385889605539335</v>
      </c>
      <c r="AP280" s="113">
        <f t="shared" si="314"/>
        <v>0.14106230847803883</v>
      </c>
      <c r="AQ280" s="113">
        <f t="shared" si="314"/>
        <v>0.13832902416392964</v>
      </c>
      <c r="AR280" s="113">
        <f t="shared" si="314"/>
        <v>9.2662663595574429E-2</v>
      </c>
      <c r="AS280" s="113">
        <f t="shared" si="314"/>
        <v>9.2043338502900501E-2</v>
      </c>
      <c r="AT280" s="113">
        <f t="shared" si="314"/>
        <v>9.7451407043011279E-2</v>
      </c>
      <c r="AU280" s="113">
        <f t="shared" si="314"/>
        <v>9.2504487135891475E-2</v>
      </c>
      <c r="AV280" s="113">
        <f t="shared" si="314"/>
        <v>8.3284867158283871E-2</v>
      </c>
      <c r="AW280" s="113">
        <f t="shared" si="314"/>
        <v>5.4838207718435693E-2</v>
      </c>
      <c r="AY280" s="111" t="s">
        <v>130</v>
      </c>
      <c r="AZ280" s="179">
        <f t="shared" si="300"/>
        <v>1.9569705576752149E-2</v>
      </c>
      <c r="BA280" s="179">
        <f t="shared" si="301"/>
        <v>2.2005720122574055E-2</v>
      </c>
      <c r="BB280" s="179">
        <f t="shared" si="302"/>
        <v>1.8259431189638714E-2</v>
      </c>
      <c r="BC280" s="179">
        <f t="shared" si="303"/>
        <v>1.8347207391923737E-2</v>
      </c>
      <c r="BD280" s="179">
        <f t="shared" si="304"/>
        <v>1.9881361116626511E-2</v>
      </c>
      <c r="BE280" s="179">
        <f t="shared" si="305"/>
        <v>2.2218920805806574E-2</v>
      </c>
      <c r="BF280" s="179">
        <f t="shared" si="306"/>
        <v>2.1646049989798605E-2</v>
      </c>
      <c r="BG280" s="179">
        <f t="shared" si="307"/>
        <v>1.8822379977772155E-2</v>
      </c>
      <c r="BH280" s="179">
        <f t="shared" si="308"/>
        <v>1.6232109484656965E-2</v>
      </c>
    </row>
    <row r="281" spans="2:68" s="108" customFormat="1" x14ac:dyDescent="0.25">
      <c r="B281" s="107"/>
      <c r="E281" s="109" t="s">
        <v>0</v>
      </c>
      <c r="F281" s="110" t="s">
        <v>63</v>
      </c>
      <c r="G281" s="111" t="s">
        <v>131</v>
      </c>
      <c r="H281" s="112">
        <v>410599</v>
      </c>
      <c r="I281" s="112">
        <v>455338</v>
      </c>
      <c r="J281" s="112">
        <v>498365</v>
      </c>
      <c r="K281" s="112">
        <v>540908</v>
      </c>
      <c r="L281" s="112">
        <v>548030</v>
      </c>
      <c r="M281" s="112">
        <v>525653</v>
      </c>
      <c r="N281" s="112">
        <v>525389</v>
      </c>
      <c r="O281" s="112">
        <v>555216</v>
      </c>
      <c r="P281" s="112">
        <v>544004</v>
      </c>
      <c r="R281" s="111" t="s">
        <v>131</v>
      </c>
      <c r="S281" s="220">
        <v>2.7</v>
      </c>
      <c r="T281" s="220">
        <v>2.9</v>
      </c>
      <c r="U281" s="220">
        <v>2.4</v>
      </c>
      <c r="V281" s="220">
        <v>1.6</v>
      </c>
      <c r="W281" s="220">
        <v>2.2000000000000002</v>
      </c>
      <c r="X281" s="220">
        <v>1.9</v>
      </c>
      <c r="Y281" s="220">
        <v>1.9</v>
      </c>
      <c r="Z281" s="220">
        <v>1.2</v>
      </c>
      <c r="AA281" s="220">
        <v>1.2</v>
      </c>
      <c r="AC281" s="111" t="s">
        <v>131</v>
      </c>
      <c r="AD281" s="112">
        <f t="shared" si="312"/>
        <v>22172.346000000001</v>
      </c>
      <c r="AE281" s="112">
        <f t="shared" si="293"/>
        <v>26409.603999999999</v>
      </c>
      <c r="AF281" s="112">
        <f t="shared" si="294"/>
        <v>23921.52</v>
      </c>
      <c r="AG281" s="112">
        <f t="shared" si="295"/>
        <v>17309.056</v>
      </c>
      <c r="AH281" s="112">
        <f t="shared" si="296"/>
        <v>24113.32</v>
      </c>
      <c r="AI281" s="112">
        <f t="shared" si="297"/>
        <v>19974.813999999998</v>
      </c>
      <c r="AJ281" s="112">
        <f t="shared" si="298"/>
        <v>19964.781999999999</v>
      </c>
      <c r="AK281" s="112">
        <f t="shared" si="309"/>
        <v>13325.183999999999</v>
      </c>
      <c r="AL281" s="112">
        <f t="shared" si="310"/>
        <v>13056.095999999998</v>
      </c>
      <c r="AN281" s="111" t="s">
        <v>131</v>
      </c>
      <c r="AO281" s="113">
        <f t="shared" ref="AO281:AW281" si="315">H281/H277</f>
        <v>0.57112434990284189</v>
      </c>
      <c r="AP281" s="113">
        <f t="shared" si="315"/>
        <v>0.62852055323965439</v>
      </c>
      <c r="AQ281" s="113">
        <f t="shared" si="315"/>
        <v>0.66728302740685297</v>
      </c>
      <c r="AR281" s="113">
        <f t="shared" si="315"/>
        <v>0.72016402827890136</v>
      </c>
      <c r="AS281" s="113">
        <f t="shared" si="315"/>
        <v>0.73522782765485895</v>
      </c>
      <c r="AT281" s="113">
        <f t="shared" si="315"/>
        <v>0.73839802327067794</v>
      </c>
      <c r="AU281" s="113">
        <f t="shared" si="315"/>
        <v>0.77676831594167761</v>
      </c>
      <c r="AV281" s="113">
        <f t="shared" si="315"/>
        <v>0.8216548350004218</v>
      </c>
      <c r="AW281" s="113">
        <f t="shared" si="315"/>
        <v>0.85506045893146521</v>
      </c>
      <c r="AY281" s="111" t="s">
        <v>131</v>
      </c>
      <c r="AZ281" s="179">
        <f t="shared" si="300"/>
        <v>3.0840714894753464E-2</v>
      </c>
      <c r="BA281" s="179">
        <f t="shared" si="301"/>
        <v>3.6454192087899955E-2</v>
      </c>
      <c r="BB281" s="179">
        <f t="shared" si="302"/>
        <v>3.2029585315528943E-2</v>
      </c>
      <c r="BC281" s="179">
        <f t="shared" si="303"/>
        <v>2.3045248904924844E-2</v>
      </c>
      <c r="BD281" s="179">
        <f t="shared" si="304"/>
        <v>3.2350024416813797E-2</v>
      </c>
      <c r="BE281" s="179">
        <f t="shared" si="305"/>
        <v>2.805912488428576E-2</v>
      </c>
      <c r="BF281" s="179">
        <f t="shared" si="306"/>
        <v>2.9517196005783747E-2</v>
      </c>
      <c r="BG281" s="179">
        <f t="shared" si="307"/>
        <v>1.9719716040010122E-2</v>
      </c>
      <c r="BH281" s="179">
        <f t="shared" si="308"/>
        <v>2.0521451014355162E-2</v>
      </c>
    </row>
    <row r="282" spans="2:68" s="87" customFormat="1" x14ac:dyDescent="0.25">
      <c r="B282" s="84"/>
      <c r="C282" s="85"/>
      <c r="D282" s="85"/>
      <c r="E282" s="109" t="s">
        <v>1</v>
      </c>
      <c r="F282" s="110" t="s">
        <v>63</v>
      </c>
      <c r="G282" s="195" t="s">
        <v>7</v>
      </c>
      <c r="H282" s="69">
        <v>973543</v>
      </c>
      <c r="I282" s="69">
        <v>996413</v>
      </c>
      <c r="J282" s="69">
        <v>1014542</v>
      </c>
      <c r="K282" s="69">
        <v>999540</v>
      </c>
      <c r="L282" s="69">
        <v>999163</v>
      </c>
      <c r="M282" s="69">
        <v>1018046</v>
      </c>
      <c r="N282" s="69">
        <v>1039529</v>
      </c>
      <c r="O282" s="69">
        <v>996093</v>
      </c>
      <c r="P282" s="69">
        <v>1007100</v>
      </c>
      <c r="R282" s="195" t="s">
        <v>7</v>
      </c>
      <c r="S282" s="226">
        <v>0.9</v>
      </c>
      <c r="T282" s="226">
        <v>0.8</v>
      </c>
      <c r="U282" s="226">
        <v>0.7</v>
      </c>
      <c r="V282" s="226">
        <v>0.9</v>
      </c>
      <c r="W282" s="226">
        <v>0.9</v>
      </c>
      <c r="X282" s="226">
        <v>0.9</v>
      </c>
      <c r="Y282" s="226">
        <v>0.9</v>
      </c>
      <c r="Z282" s="226">
        <v>0.7</v>
      </c>
      <c r="AA282" s="226">
        <v>0.8</v>
      </c>
      <c r="AC282" s="195" t="s">
        <v>7</v>
      </c>
      <c r="AD282" s="69">
        <f t="shared" si="312"/>
        <v>17523.774000000001</v>
      </c>
      <c r="AE282" s="69">
        <f t="shared" si="293"/>
        <v>15942.608</v>
      </c>
      <c r="AF282" s="69">
        <f t="shared" si="294"/>
        <v>14203.587999999998</v>
      </c>
      <c r="AG282" s="69">
        <f t="shared" si="295"/>
        <v>17991.72</v>
      </c>
      <c r="AH282" s="69">
        <f t="shared" si="296"/>
        <v>17984.934000000001</v>
      </c>
      <c r="AI282" s="69">
        <f t="shared" si="297"/>
        <v>18324.828000000001</v>
      </c>
      <c r="AJ282" s="69">
        <f t="shared" si="298"/>
        <v>18711.522000000001</v>
      </c>
      <c r="AK282" s="69">
        <f t="shared" si="309"/>
        <v>13945.302</v>
      </c>
      <c r="AL282" s="69">
        <f t="shared" si="310"/>
        <v>16113.6</v>
      </c>
      <c r="AN282" s="195" t="s">
        <v>7</v>
      </c>
      <c r="AO282" s="98">
        <f t="shared" ref="AO282:AW282" si="316">H282/H282</f>
        <v>1</v>
      </c>
      <c r="AP282" s="98">
        <f t="shared" si="316"/>
        <v>1</v>
      </c>
      <c r="AQ282" s="98">
        <f t="shared" si="316"/>
        <v>1</v>
      </c>
      <c r="AR282" s="98">
        <f t="shared" si="316"/>
        <v>1</v>
      </c>
      <c r="AS282" s="98">
        <f t="shared" si="316"/>
        <v>1</v>
      </c>
      <c r="AT282" s="98">
        <f t="shared" si="316"/>
        <v>1</v>
      </c>
      <c r="AU282" s="98">
        <f t="shared" si="316"/>
        <v>1</v>
      </c>
      <c r="AV282" s="98">
        <f t="shared" si="316"/>
        <v>1</v>
      </c>
      <c r="AW282" s="98">
        <f t="shared" si="316"/>
        <v>1</v>
      </c>
      <c r="AX282" s="191"/>
      <c r="AY282" s="195" t="s">
        <v>7</v>
      </c>
      <c r="AZ282" s="178">
        <f t="shared" si="300"/>
        <v>1.8000000000000002E-2</v>
      </c>
      <c r="BA282" s="178">
        <f t="shared" si="301"/>
        <v>1.6E-2</v>
      </c>
      <c r="BB282" s="178">
        <f t="shared" si="302"/>
        <v>1.3999999999999999E-2</v>
      </c>
      <c r="BC282" s="178">
        <f t="shared" si="303"/>
        <v>1.8000000000000002E-2</v>
      </c>
      <c r="BD282" s="178">
        <f t="shared" si="304"/>
        <v>1.8000000000000002E-2</v>
      </c>
      <c r="BE282" s="178">
        <f t="shared" si="305"/>
        <v>1.8000000000000002E-2</v>
      </c>
      <c r="BF282" s="178">
        <f t="shared" si="306"/>
        <v>1.8000000000000002E-2</v>
      </c>
      <c r="BG282" s="178">
        <f t="shared" si="307"/>
        <v>1.3999999999999999E-2</v>
      </c>
      <c r="BH282" s="178">
        <f t="shared" si="308"/>
        <v>1.6E-2</v>
      </c>
      <c r="BI282" s="191"/>
      <c r="BJ282" s="191"/>
      <c r="BK282" s="191"/>
      <c r="BL282" s="191"/>
      <c r="BM282" s="191"/>
      <c r="BN282" s="191"/>
      <c r="BO282" s="191"/>
      <c r="BP282" s="191"/>
    </row>
    <row r="283" spans="2:68" s="108" customFormat="1" x14ac:dyDescent="0.25">
      <c r="B283" s="107"/>
      <c r="E283" s="109" t="s">
        <v>1</v>
      </c>
      <c r="F283" s="110" t="s">
        <v>63</v>
      </c>
      <c r="G283" s="111" t="s">
        <v>54</v>
      </c>
      <c r="H283" s="112">
        <v>352289</v>
      </c>
      <c r="I283" s="112">
        <v>339579</v>
      </c>
      <c r="J283" s="112">
        <v>328000</v>
      </c>
      <c r="K283" s="112">
        <v>325044</v>
      </c>
      <c r="L283" s="112">
        <v>314031</v>
      </c>
      <c r="M283" s="112">
        <v>318170</v>
      </c>
      <c r="N283" s="112">
        <v>307975</v>
      </c>
      <c r="O283" s="112">
        <v>243389</v>
      </c>
      <c r="P283" s="112">
        <v>237568</v>
      </c>
      <c r="R283" s="111" t="s">
        <v>54</v>
      </c>
      <c r="S283" s="220">
        <v>3.3</v>
      </c>
      <c r="T283" s="220">
        <v>3.7</v>
      </c>
      <c r="U283" s="220">
        <v>3.5</v>
      </c>
      <c r="V283" s="220">
        <v>4</v>
      </c>
      <c r="W283" s="220">
        <v>4.3</v>
      </c>
      <c r="X283" s="220">
        <v>4.5</v>
      </c>
      <c r="Y283" s="220">
        <v>4.0999999999999996</v>
      </c>
      <c r="Z283" s="220">
        <v>5.4</v>
      </c>
      <c r="AA283" s="220">
        <v>5.3</v>
      </c>
      <c r="AC283" s="111" t="s">
        <v>54</v>
      </c>
      <c r="AD283" s="112">
        <f t="shared" si="312"/>
        <v>23251.074000000001</v>
      </c>
      <c r="AE283" s="112">
        <f t="shared" si="293"/>
        <v>25128.846000000001</v>
      </c>
      <c r="AF283" s="112">
        <f t="shared" si="294"/>
        <v>22960</v>
      </c>
      <c r="AG283" s="112">
        <f t="shared" si="295"/>
        <v>26003.52</v>
      </c>
      <c r="AH283" s="112">
        <f t="shared" si="296"/>
        <v>27006.666000000001</v>
      </c>
      <c r="AI283" s="112">
        <f t="shared" si="297"/>
        <v>28635.3</v>
      </c>
      <c r="AJ283" s="112">
        <f t="shared" si="298"/>
        <v>25253.95</v>
      </c>
      <c r="AK283" s="112">
        <f t="shared" si="309"/>
        <v>26286.012000000002</v>
      </c>
      <c r="AL283" s="112">
        <f t="shared" si="310"/>
        <v>25182.207999999999</v>
      </c>
      <c r="AN283" s="111" t="s">
        <v>54</v>
      </c>
      <c r="AO283" s="113">
        <f t="shared" ref="AO283:AW283" si="317">H283/H282</f>
        <v>0.36186280421101069</v>
      </c>
      <c r="AP283" s="113">
        <f t="shared" si="317"/>
        <v>0.34080145481843371</v>
      </c>
      <c r="AQ283" s="113">
        <f t="shared" si="317"/>
        <v>0.32329859187692572</v>
      </c>
      <c r="AR283" s="113">
        <f t="shared" si="317"/>
        <v>0.32519358905096346</v>
      </c>
      <c r="AS283" s="113">
        <f t="shared" si="317"/>
        <v>0.31429406413167821</v>
      </c>
      <c r="AT283" s="113">
        <f t="shared" si="317"/>
        <v>0.3125300821377423</v>
      </c>
      <c r="AU283" s="113">
        <f t="shared" si="317"/>
        <v>0.29626398109143659</v>
      </c>
      <c r="AV283" s="113">
        <f t="shared" si="317"/>
        <v>0.24434365064306243</v>
      </c>
      <c r="AW283" s="113">
        <f t="shared" si="317"/>
        <v>0.23589315857412371</v>
      </c>
      <c r="AY283" s="111" t="s">
        <v>54</v>
      </c>
      <c r="AZ283" s="179">
        <f t="shared" si="300"/>
        <v>2.3882945077926702E-2</v>
      </c>
      <c r="BA283" s="179">
        <f t="shared" si="301"/>
        <v>2.5219307656564095E-2</v>
      </c>
      <c r="BB283" s="179">
        <f t="shared" si="302"/>
        <v>2.2630901431384801E-2</v>
      </c>
      <c r="BC283" s="179">
        <f t="shared" si="303"/>
        <v>2.6015487124077075E-2</v>
      </c>
      <c r="BD283" s="179">
        <f t="shared" si="304"/>
        <v>2.7029289515324323E-2</v>
      </c>
      <c r="BE283" s="179">
        <f t="shared" si="305"/>
        <v>2.8127707392396804E-2</v>
      </c>
      <c r="BF283" s="179">
        <f t="shared" si="306"/>
        <v>2.4293646449497799E-2</v>
      </c>
      <c r="BG283" s="179">
        <f t="shared" si="307"/>
        <v>2.6389114269450745E-2</v>
      </c>
      <c r="BH283" s="179">
        <f t="shared" si="308"/>
        <v>2.5004674808857111E-2</v>
      </c>
    </row>
    <row r="284" spans="2:68" s="108" customFormat="1" x14ac:dyDescent="0.25">
      <c r="B284" s="107"/>
      <c r="E284" s="109" t="s">
        <v>1</v>
      </c>
      <c r="F284" s="110" t="s">
        <v>63</v>
      </c>
      <c r="G284" s="111" t="s">
        <v>55</v>
      </c>
      <c r="H284" s="70">
        <v>112054</v>
      </c>
      <c r="I284" s="70">
        <v>152672</v>
      </c>
      <c r="J284" s="70">
        <v>130382</v>
      </c>
      <c r="K284" s="70">
        <v>146075</v>
      </c>
      <c r="L284" s="70">
        <v>135486</v>
      </c>
      <c r="M284" s="70">
        <v>126117</v>
      </c>
      <c r="N284" s="70">
        <v>105370</v>
      </c>
      <c r="O284" s="112">
        <v>87935</v>
      </c>
      <c r="P284" s="112">
        <v>103331</v>
      </c>
      <c r="R284" s="111" t="s">
        <v>55</v>
      </c>
      <c r="S284" s="81">
        <v>7.3</v>
      </c>
      <c r="T284" s="81">
        <v>6.2</v>
      </c>
      <c r="U284" s="81">
        <v>5.9</v>
      </c>
      <c r="V284" s="81">
        <v>6.8</v>
      </c>
      <c r="W284" s="81">
        <v>7.6</v>
      </c>
      <c r="X284" s="81">
        <v>7.9</v>
      </c>
      <c r="Y284" s="81">
        <v>8.8000000000000007</v>
      </c>
      <c r="Z284" s="81">
        <v>9.1</v>
      </c>
      <c r="AA284" s="81">
        <v>7.9</v>
      </c>
      <c r="AC284" s="111" t="s">
        <v>55</v>
      </c>
      <c r="AD284" s="70">
        <f t="shared" si="312"/>
        <v>16359.883999999998</v>
      </c>
      <c r="AE284" s="70">
        <f t="shared" si="293"/>
        <v>18931.328000000001</v>
      </c>
      <c r="AF284" s="70">
        <f t="shared" si="294"/>
        <v>15385.076000000001</v>
      </c>
      <c r="AG284" s="70">
        <f t="shared" si="295"/>
        <v>19866.2</v>
      </c>
      <c r="AH284" s="70">
        <f t="shared" si="296"/>
        <v>20593.871999999999</v>
      </c>
      <c r="AI284" s="70">
        <f t="shared" si="297"/>
        <v>19926.486000000001</v>
      </c>
      <c r="AJ284" s="70">
        <f t="shared" si="298"/>
        <v>18545.120000000003</v>
      </c>
      <c r="AK284" s="70">
        <f t="shared" si="309"/>
        <v>16004.17</v>
      </c>
      <c r="AL284" s="70">
        <f t="shared" si="310"/>
        <v>16326.298000000001</v>
      </c>
      <c r="AN284" s="111" t="s">
        <v>55</v>
      </c>
      <c r="AO284" s="113">
        <f t="shared" ref="AO284:AW284" si="318">H284/H282</f>
        <v>0.11509917897822695</v>
      </c>
      <c r="AP284" s="113">
        <f t="shared" si="318"/>
        <v>0.1532216059003646</v>
      </c>
      <c r="AQ284" s="113">
        <f t="shared" si="318"/>
        <v>0.12851316160395529</v>
      </c>
      <c r="AR284" s="113">
        <f t="shared" si="318"/>
        <v>0.1461422254236949</v>
      </c>
      <c r="AS284" s="113">
        <f t="shared" si="318"/>
        <v>0.13559949677880387</v>
      </c>
      <c r="AT284" s="113">
        <f t="shared" si="318"/>
        <v>0.12388143561292908</v>
      </c>
      <c r="AU284" s="113">
        <f t="shared" si="318"/>
        <v>0.10136321353228241</v>
      </c>
      <c r="AV284" s="113">
        <f t="shared" si="318"/>
        <v>8.8279909606833906E-2</v>
      </c>
      <c r="AW284" s="113">
        <f t="shared" si="318"/>
        <v>0.10260252209313872</v>
      </c>
      <c r="AY284" s="111" t="s">
        <v>55</v>
      </c>
      <c r="AZ284" s="179">
        <f t="shared" si="300"/>
        <v>1.6804480130821135E-2</v>
      </c>
      <c r="BA284" s="179">
        <f t="shared" si="301"/>
        <v>1.8999479131645212E-2</v>
      </c>
      <c r="BB284" s="179">
        <f t="shared" si="302"/>
        <v>1.5164553069266723E-2</v>
      </c>
      <c r="BC284" s="179">
        <f t="shared" si="303"/>
        <v>1.9875342657622506E-2</v>
      </c>
      <c r="BD284" s="179">
        <f t="shared" si="304"/>
        <v>2.061112351037819E-2</v>
      </c>
      <c r="BE284" s="179">
        <f t="shared" si="305"/>
        <v>1.9573266826842795E-2</v>
      </c>
      <c r="BF284" s="179">
        <f t="shared" si="306"/>
        <v>1.7839925581681706E-2</v>
      </c>
      <c r="BG284" s="179">
        <f t="shared" si="307"/>
        <v>1.606694354844377E-2</v>
      </c>
      <c r="BH284" s="179">
        <f t="shared" si="308"/>
        <v>1.6211198490715919E-2</v>
      </c>
    </row>
    <row r="285" spans="2:68" s="108" customFormat="1" x14ac:dyDescent="0.25">
      <c r="B285" s="107"/>
      <c r="E285" s="109" t="s">
        <v>1</v>
      </c>
      <c r="F285" s="110" t="s">
        <v>63</v>
      </c>
      <c r="G285" s="111" t="s">
        <v>130</v>
      </c>
      <c r="H285" s="70">
        <v>133929</v>
      </c>
      <c r="I285" s="70">
        <v>145835</v>
      </c>
      <c r="J285" s="70">
        <v>170819</v>
      </c>
      <c r="K285" s="70">
        <v>156356</v>
      </c>
      <c r="L285" s="70">
        <v>137109</v>
      </c>
      <c r="M285" s="70">
        <v>121066</v>
      </c>
      <c r="N285" s="70">
        <v>152875</v>
      </c>
      <c r="O285" s="112">
        <v>172604</v>
      </c>
      <c r="P285" s="112">
        <v>156873</v>
      </c>
      <c r="R285" s="111" t="s">
        <v>130</v>
      </c>
      <c r="S285" s="220">
        <v>6.5</v>
      </c>
      <c r="T285" s="220">
        <v>6.8</v>
      </c>
      <c r="U285" s="220">
        <v>5.4</v>
      </c>
      <c r="V285" s="220">
        <v>6.2</v>
      </c>
      <c r="W285" s="220">
        <v>7.6</v>
      </c>
      <c r="X285" s="220">
        <v>8.9</v>
      </c>
      <c r="Y285" s="220">
        <v>7</v>
      </c>
      <c r="Z285" s="220">
        <v>6.5</v>
      </c>
      <c r="AA285" s="220">
        <v>6.3</v>
      </c>
      <c r="AC285" s="111" t="s">
        <v>130</v>
      </c>
      <c r="AD285" s="70">
        <f t="shared" si="312"/>
        <v>17410.77</v>
      </c>
      <c r="AE285" s="70">
        <f t="shared" si="293"/>
        <v>19833.560000000001</v>
      </c>
      <c r="AF285" s="70">
        <f t="shared" si="294"/>
        <v>18448.452000000001</v>
      </c>
      <c r="AG285" s="70">
        <f t="shared" si="295"/>
        <v>19388.144</v>
      </c>
      <c r="AH285" s="70">
        <f t="shared" si="296"/>
        <v>20840.567999999999</v>
      </c>
      <c r="AI285" s="70">
        <f t="shared" si="297"/>
        <v>21549.748000000003</v>
      </c>
      <c r="AJ285" s="70">
        <f t="shared" si="298"/>
        <v>21402.5</v>
      </c>
      <c r="AK285" s="70">
        <f t="shared" si="309"/>
        <v>22438.52</v>
      </c>
      <c r="AL285" s="70">
        <f t="shared" si="310"/>
        <v>19765.998</v>
      </c>
      <c r="AN285" s="111" t="s">
        <v>130</v>
      </c>
      <c r="AO285" s="113">
        <f t="shared" ref="AO285:AW285" si="319">H285/H282</f>
        <v>0.13756865387558639</v>
      </c>
      <c r="AP285" s="113">
        <f t="shared" si="319"/>
        <v>0.14635999329595259</v>
      </c>
      <c r="AQ285" s="113">
        <f t="shared" si="319"/>
        <v>0.16837055538361151</v>
      </c>
      <c r="AR285" s="113">
        <f t="shared" si="319"/>
        <v>0.15642795686015568</v>
      </c>
      <c r="AS285" s="113">
        <f t="shared" si="319"/>
        <v>0.13722385636777984</v>
      </c>
      <c r="AT285" s="113">
        <f t="shared" si="319"/>
        <v>0.11891997021745579</v>
      </c>
      <c r="AU285" s="113">
        <f t="shared" si="319"/>
        <v>0.14706179433185607</v>
      </c>
      <c r="AV285" s="113">
        <f t="shared" si="319"/>
        <v>0.17328100890177925</v>
      </c>
      <c r="AW285" s="113">
        <f t="shared" si="319"/>
        <v>0.15576705391718795</v>
      </c>
      <c r="AY285" s="111" t="s">
        <v>130</v>
      </c>
      <c r="AZ285" s="179">
        <f t="shared" si="300"/>
        <v>1.7883925003826229E-2</v>
      </c>
      <c r="BA285" s="179">
        <f t="shared" si="301"/>
        <v>1.9904959088249553E-2</v>
      </c>
      <c r="BB285" s="179">
        <f t="shared" si="302"/>
        <v>1.8184019981430044E-2</v>
      </c>
      <c r="BC285" s="179">
        <f t="shared" si="303"/>
        <v>1.9397066650659305E-2</v>
      </c>
      <c r="BD285" s="179">
        <f t="shared" si="304"/>
        <v>2.0858026167902534E-2</v>
      </c>
      <c r="BE285" s="179">
        <f t="shared" si="305"/>
        <v>2.1167754698707131E-2</v>
      </c>
      <c r="BF285" s="179">
        <f t="shared" si="306"/>
        <v>2.0588651206459849E-2</v>
      </c>
      <c r="BG285" s="179">
        <f t="shared" si="307"/>
        <v>2.2526531157231303E-2</v>
      </c>
      <c r="BH285" s="179">
        <f t="shared" si="308"/>
        <v>1.9626648793565682E-2</v>
      </c>
    </row>
    <row r="286" spans="2:68" s="108" customFormat="1" x14ac:dyDescent="0.25">
      <c r="B286" s="107"/>
      <c r="E286" s="109" t="s">
        <v>1</v>
      </c>
      <c r="F286" s="110" t="s">
        <v>63</v>
      </c>
      <c r="G286" s="111" t="s">
        <v>131</v>
      </c>
      <c r="H286" s="112">
        <v>375272</v>
      </c>
      <c r="I286" s="112">
        <v>358328</v>
      </c>
      <c r="J286" s="112">
        <v>385341</v>
      </c>
      <c r="K286" s="112">
        <v>372065</v>
      </c>
      <c r="L286" s="112">
        <v>412536</v>
      </c>
      <c r="M286" s="112">
        <v>452692</v>
      </c>
      <c r="N286" s="112">
        <v>473310</v>
      </c>
      <c r="O286" s="112">
        <v>492165</v>
      </c>
      <c r="P286" s="112">
        <v>509328</v>
      </c>
      <c r="R286" s="111" t="s">
        <v>131</v>
      </c>
      <c r="S286" s="220">
        <v>3.3</v>
      </c>
      <c r="T286" s="220">
        <v>3.3</v>
      </c>
      <c r="U286" s="220">
        <v>3.3</v>
      </c>
      <c r="V286" s="220">
        <v>3.8</v>
      </c>
      <c r="W286" s="220">
        <v>3.5</v>
      </c>
      <c r="X286" s="220">
        <v>3.6</v>
      </c>
      <c r="Y286" s="220">
        <v>3.2</v>
      </c>
      <c r="Z286" s="220">
        <v>2.9</v>
      </c>
      <c r="AA286" s="220">
        <v>2.6</v>
      </c>
      <c r="AC286" s="111" t="s">
        <v>131</v>
      </c>
      <c r="AD286" s="112">
        <f t="shared" si="312"/>
        <v>24767.951999999997</v>
      </c>
      <c r="AE286" s="112">
        <f t="shared" si="293"/>
        <v>23649.647999999997</v>
      </c>
      <c r="AF286" s="112">
        <f t="shared" si="294"/>
        <v>25432.506000000001</v>
      </c>
      <c r="AG286" s="112">
        <f t="shared" si="295"/>
        <v>28276.94</v>
      </c>
      <c r="AH286" s="112">
        <f t="shared" si="296"/>
        <v>28877.52</v>
      </c>
      <c r="AI286" s="112">
        <f t="shared" si="297"/>
        <v>32593.824000000001</v>
      </c>
      <c r="AJ286" s="112">
        <f t="shared" si="298"/>
        <v>30291.84</v>
      </c>
      <c r="AK286" s="112">
        <f t="shared" si="309"/>
        <v>28545.57</v>
      </c>
      <c r="AL286" s="112">
        <f t="shared" si="310"/>
        <v>26485.056</v>
      </c>
      <c r="AN286" s="111" t="s">
        <v>131</v>
      </c>
      <c r="AO286" s="113">
        <f t="shared" ref="AO286:AW286" si="320">H286/H282</f>
        <v>0.38547039011117123</v>
      </c>
      <c r="AP286" s="113">
        <f t="shared" si="320"/>
        <v>0.35961794958516197</v>
      </c>
      <c r="AQ286" s="113">
        <f t="shared" si="320"/>
        <v>0.37981769113550745</v>
      </c>
      <c r="AR286" s="113">
        <f t="shared" si="320"/>
        <v>0.37223622866518596</v>
      </c>
      <c r="AS286" s="113">
        <f t="shared" si="320"/>
        <v>0.41288158188403695</v>
      </c>
      <c r="AT286" s="113">
        <f t="shared" si="320"/>
        <v>0.44466752975798735</v>
      </c>
      <c r="AU286" s="113">
        <f t="shared" si="320"/>
        <v>0.45531197301854975</v>
      </c>
      <c r="AV286" s="113">
        <f t="shared" si="320"/>
        <v>0.49409543084832441</v>
      </c>
      <c r="AW286" s="113">
        <f t="shared" si="320"/>
        <v>0.50573726541554964</v>
      </c>
      <c r="AY286" s="111" t="s">
        <v>131</v>
      </c>
      <c r="AZ286" s="179">
        <f t="shared" si="300"/>
        <v>2.5441045747337299E-2</v>
      </c>
      <c r="BA286" s="179">
        <f t="shared" si="301"/>
        <v>2.373478467262069E-2</v>
      </c>
      <c r="BB286" s="179">
        <f t="shared" si="302"/>
        <v>2.5067967614943489E-2</v>
      </c>
      <c r="BC286" s="179">
        <f t="shared" si="303"/>
        <v>2.8289953378554132E-2</v>
      </c>
      <c r="BD286" s="179">
        <f t="shared" si="304"/>
        <v>2.8901710731882586E-2</v>
      </c>
      <c r="BE286" s="179">
        <f t="shared" si="305"/>
        <v>3.2016062142575089E-2</v>
      </c>
      <c r="BF286" s="179">
        <f t="shared" si="306"/>
        <v>2.9139966273187188E-2</v>
      </c>
      <c r="BG286" s="179">
        <f t="shared" si="307"/>
        <v>2.8657534989202812E-2</v>
      </c>
      <c r="BH286" s="179">
        <f t="shared" si="308"/>
        <v>2.6298337801608583E-2</v>
      </c>
    </row>
    <row r="287" spans="2:68" s="87" customFormat="1" x14ac:dyDescent="0.25">
      <c r="B287" s="84"/>
      <c r="C287" s="85"/>
      <c r="D287" s="85"/>
      <c r="E287" s="109" t="s">
        <v>2</v>
      </c>
      <c r="F287" s="110" t="s">
        <v>63</v>
      </c>
      <c r="G287" s="195" t="s">
        <v>7</v>
      </c>
      <c r="H287" s="69">
        <v>1769731</v>
      </c>
      <c r="I287" s="69">
        <v>1695743</v>
      </c>
      <c r="J287" s="69">
        <v>1645623</v>
      </c>
      <c r="K287" s="69">
        <v>1597067</v>
      </c>
      <c r="L287" s="69">
        <v>1568979</v>
      </c>
      <c r="M287" s="69">
        <v>1577881</v>
      </c>
      <c r="N287" s="69">
        <v>1611797</v>
      </c>
      <c r="O287" s="69">
        <v>1660869</v>
      </c>
      <c r="P287" s="69">
        <v>1735041</v>
      </c>
      <c r="R287" s="195" t="s">
        <v>7</v>
      </c>
      <c r="S287" s="226">
        <v>0.6</v>
      </c>
      <c r="T287" s="226">
        <v>0.6</v>
      </c>
      <c r="U287" s="226">
        <v>0.6</v>
      </c>
      <c r="V287" s="226">
        <v>0.7</v>
      </c>
      <c r="W287" s="226">
        <v>0.6</v>
      </c>
      <c r="X287" s="226">
        <v>0.7</v>
      </c>
      <c r="Y287" s="226">
        <v>0.7</v>
      </c>
      <c r="Z287" s="226">
        <v>0.6</v>
      </c>
      <c r="AA287" s="226">
        <v>0.6</v>
      </c>
      <c r="AC287" s="195" t="s">
        <v>7</v>
      </c>
      <c r="AD287" s="69">
        <f t="shared" si="312"/>
        <v>21236.771999999997</v>
      </c>
      <c r="AE287" s="69">
        <f t="shared" si="293"/>
        <v>20348.915999999997</v>
      </c>
      <c r="AF287" s="69">
        <f t="shared" si="294"/>
        <v>19747.475999999999</v>
      </c>
      <c r="AG287" s="69">
        <f t="shared" si="295"/>
        <v>22358.937999999998</v>
      </c>
      <c r="AH287" s="69">
        <f t="shared" si="296"/>
        <v>18827.748</v>
      </c>
      <c r="AI287" s="69">
        <f t="shared" si="297"/>
        <v>22090.333999999999</v>
      </c>
      <c r="AJ287" s="69">
        <f t="shared" si="298"/>
        <v>22565.157999999999</v>
      </c>
      <c r="AK287" s="69">
        <f t="shared" si="309"/>
        <v>19930.428</v>
      </c>
      <c r="AL287" s="69">
        <f t="shared" si="310"/>
        <v>20820.491999999998</v>
      </c>
      <c r="AN287" s="195" t="s">
        <v>7</v>
      </c>
      <c r="AO287" s="98">
        <f t="shared" ref="AO287:AW287" si="321">H287/H287</f>
        <v>1</v>
      </c>
      <c r="AP287" s="98">
        <f t="shared" si="321"/>
        <v>1</v>
      </c>
      <c r="AQ287" s="98">
        <f t="shared" si="321"/>
        <v>1</v>
      </c>
      <c r="AR287" s="98">
        <f t="shared" si="321"/>
        <v>1</v>
      </c>
      <c r="AS287" s="98">
        <f t="shared" si="321"/>
        <v>1</v>
      </c>
      <c r="AT287" s="98">
        <f t="shared" si="321"/>
        <v>1</v>
      </c>
      <c r="AU287" s="98">
        <f t="shared" si="321"/>
        <v>1</v>
      </c>
      <c r="AV287" s="98">
        <f t="shared" si="321"/>
        <v>1</v>
      </c>
      <c r="AW287" s="98">
        <f t="shared" si="321"/>
        <v>1</v>
      </c>
      <c r="AX287" s="191"/>
      <c r="AY287" s="195" t="s">
        <v>7</v>
      </c>
      <c r="AZ287" s="178">
        <f t="shared" si="300"/>
        <v>1.2E-2</v>
      </c>
      <c r="BA287" s="178">
        <f t="shared" si="301"/>
        <v>1.2E-2</v>
      </c>
      <c r="BB287" s="178">
        <f t="shared" si="302"/>
        <v>1.2E-2</v>
      </c>
      <c r="BC287" s="178">
        <f t="shared" si="303"/>
        <v>1.3999999999999999E-2</v>
      </c>
      <c r="BD287" s="178">
        <f t="shared" si="304"/>
        <v>1.2E-2</v>
      </c>
      <c r="BE287" s="178">
        <f t="shared" si="305"/>
        <v>1.3999999999999999E-2</v>
      </c>
      <c r="BF287" s="178">
        <f t="shared" si="306"/>
        <v>1.3999999999999999E-2</v>
      </c>
      <c r="BG287" s="178">
        <f t="shared" si="307"/>
        <v>1.2E-2</v>
      </c>
      <c r="BH287" s="178">
        <f t="shared" si="308"/>
        <v>1.2E-2</v>
      </c>
      <c r="BI287" s="191"/>
      <c r="BJ287" s="191"/>
      <c r="BK287" s="191"/>
      <c r="BL287" s="191"/>
      <c r="BM287" s="191"/>
      <c r="BN287" s="191"/>
      <c r="BO287" s="191"/>
      <c r="BP287" s="191"/>
    </row>
    <row r="288" spans="2:68" s="108" customFormat="1" x14ac:dyDescent="0.25">
      <c r="B288" s="107"/>
      <c r="E288" s="109" t="s">
        <v>2</v>
      </c>
      <c r="F288" s="110" t="s">
        <v>63</v>
      </c>
      <c r="G288" s="111" t="s">
        <v>54</v>
      </c>
      <c r="H288" s="112">
        <v>610881</v>
      </c>
      <c r="I288" s="112">
        <v>508186</v>
      </c>
      <c r="J288" s="112">
        <v>470868</v>
      </c>
      <c r="K288" s="112">
        <v>453588</v>
      </c>
      <c r="L288" s="112">
        <v>399396</v>
      </c>
      <c r="M288" s="112">
        <v>417353</v>
      </c>
      <c r="N288" s="112">
        <v>375224</v>
      </c>
      <c r="O288" s="112">
        <v>366001</v>
      </c>
      <c r="P288" s="112">
        <v>358026</v>
      </c>
      <c r="R288" s="111" t="s">
        <v>54</v>
      </c>
      <c r="S288" s="220">
        <v>2.8</v>
      </c>
      <c r="T288" s="220">
        <v>3.1</v>
      </c>
      <c r="U288" s="220">
        <v>2.9</v>
      </c>
      <c r="V288" s="220">
        <v>3.2</v>
      </c>
      <c r="W288" s="220">
        <v>3.9</v>
      </c>
      <c r="X288" s="220">
        <v>3.8</v>
      </c>
      <c r="Y288" s="220">
        <v>4.0999999999999996</v>
      </c>
      <c r="Z288" s="220">
        <v>4.0999999999999996</v>
      </c>
      <c r="AA288" s="220">
        <v>4</v>
      </c>
      <c r="AC288" s="111" t="s">
        <v>54</v>
      </c>
      <c r="AD288" s="112">
        <f t="shared" si="312"/>
        <v>34209.335999999996</v>
      </c>
      <c r="AE288" s="112">
        <f t="shared" si="293"/>
        <v>31507.532000000003</v>
      </c>
      <c r="AF288" s="112">
        <f t="shared" si="294"/>
        <v>27310.343999999997</v>
      </c>
      <c r="AG288" s="112">
        <f t="shared" si="295"/>
        <v>29029.632000000001</v>
      </c>
      <c r="AH288" s="112">
        <f t="shared" si="296"/>
        <v>31152.887999999999</v>
      </c>
      <c r="AI288" s="112">
        <f t="shared" si="297"/>
        <v>31718.827999999998</v>
      </c>
      <c r="AJ288" s="112">
        <f t="shared" si="298"/>
        <v>30768.367999999999</v>
      </c>
      <c r="AK288" s="112">
        <f t="shared" si="309"/>
        <v>30012.081999999999</v>
      </c>
      <c r="AL288" s="112">
        <f t="shared" si="310"/>
        <v>28642.080000000002</v>
      </c>
      <c r="AN288" s="111" t="s">
        <v>54</v>
      </c>
      <c r="AO288" s="113">
        <f t="shared" ref="AO288:AW288" si="322">H288/H287</f>
        <v>0.34518296848504093</v>
      </c>
      <c r="AP288" s="113">
        <f t="shared" si="322"/>
        <v>0.2996833836259386</v>
      </c>
      <c r="AQ288" s="113">
        <f t="shared" si="322"/>
        <v>0.28613357980533816</v>
      </c>
      <c r="AR288" s="113">
        <f t="shared" si="322"/>
        <v>0.28401313157181257</v>
      </c>
      <c r="AS288" s="113">
        <f t="shared" si="322"/>
        <v>0.25455790039254828</v>
      </c>
      <c r="AT288" s="113">
        <f t="shared" si="322"/>
        <v>0.264502202637588</v>
      </c>
      <c r="AU288" s="113">
        <f t="shared" si="322"/>
        <v>0.23279854721159055</v>
      </c>
      <c r="AV288" s="113">
        <f t="shared" si="322"/>
        <v>0.22036716923490052</v>
      </c>
      <c r="AW288" s="113">
        <f t="shared" si="322"/>
        <v>0.20635016694129996</v>
      </c>
      <c r="AY288" s="111" t="s">
        <v>54</v>
      </c>
      <c r="AZ288" s="179">
        <f t="shared" si="300"/>
        <v>1.9330246235162291E-2</v>
      </c>
      <c r="BA288" s="179">
        <f t="shared" si="301"/>
        <v>1.8580369784808193E-2</v>
      </c>
      <c r="BB288" s="179">
        <f t="shared" si="302"/>
        <v>1.6595747628709613E-2</v>
      </c>
      <c r="BC288" s="179">
        <f t="shared" si="303"/>
        <v>1.8176840420596006E-2</v>
      </c>
      <c r="BD288" s="179">
        <f t="shared" si="304"/>
        <v>1.9855516230618767E-2</v>
      </c>
      <c r="BE288" s="179">
        <f t="shared" si="305"/>
        <v>2.0102167400456686E-2</v>
      </c>
      <c r="BF288" s="179">
        <f t="shared" si="306"/>
        <v>1.9089480871350425E-2</v>
      </c>
      <c r="BG288" s="179">
        <f t="shared" si="307"/>
        <v>1.8070107877261841E-2</v>
      </c>
      <c r="BH288" s="179">
        <f t="shared" si="308"/>
        <v>1.6508013355303996E-2</v>
      </c>
    </row>
    <row r="289" spans="2:68" s="108" customFormat="1" x14ac:dyDescent="0.25">
      <c r="B289" s="107"/>
      <c r="E289" s="109" t="s">
        <v>2</v>
      </c>
      <c r="F289" s="110" t="s">
        <v>63</v>
      </c>
      <c r="G289" s="111" t="s">
        <v>55</v>
      </c>
      <c r="H289" s="70">
        <v>433554</v>
      </c>
      <c r="I289" s="70">
        <v>463338</v>
      </c>
      <c r="J289" s="70">
        <v>382408</v>
      </c>
      <c r="K289" s="70">
        <v>350164</v>
      </c>
      <c r="L289" s="70">
        <v>363438</v>
      </c>
      <c r="M289" s="70">
        <v>349023</v>
      </c>
      <c r="N289" s="70">
        <v>351705</v>
      </c>
      <c r="O289" s="112">
        <v>362799</v>
      </c>
      <c r="P289" s="112">
        <v>395459</v>
      </c>
      <c r="R289" s="111" t="s">
        <v>55</v>
      </c>
      <c r="S289" s="81">
        <v>3.4</v>
      </c>
      <c r="T289" s="81">
        <v>3.4</v>
      </c>
      <c r="U289" s="81">
        <v>3.4</v>
      </c>
      <c r="V289" s="81">
        <v>3.9</v>
      </c>
      <c r="W289" s="81">
        <v>4.3</v>
      </c>
      <c r="X289" s="81">
        <v>4.8</v>
      </c>
      <c r="Y289" s="81">
        <v>4.5</v>
      </c>
      <c r="Z289" s="81">
        <v>4.4000000000000004</v>
      </c>
      <c r="AA289" s="81">
        <v>4</v>
      </c>
      <c r="AC289" s="111" t="s">
        <v>55</v>
      </c>
      <c r="AD289" s="70">
        <f t="shared" si="312"/>
        <v>29481.671999999999</v>
      </c>
      <c r="AE289" s="70">
        <f t="shared" si="293"/>
        <v>31506.984</v>
      </c>
      <c r="AF289" s="70">
        <f t="shared" si="294"/>
        <v>26003.743999999999</v>
      </c>
      <c r="AG289" s="70">
        <f t="shared" si="295"/>
        <v>27312.791999999998</v>
      </c>
      <c r="AH289" s="70">
        <f t="shared" si="296"/>
        <v>31255.667999999998</v>
      </c>
      <c r="AI289" s="70">
        <f t="shared" si="297"/>
        <v>33506.207999999999</v>
      </c>
      <c r="AJ289" s="70">
        <f t="shared" si="298"/>
        <v>31653.45</v>
      </c>
      <c r="AK289" s="70">
        <f t="shared" si="309"/>
        <v>31926.312000000002</v>
      </c>
      <c r="AL289" s="70">
        <f t="shared" si="310"/>
        <v>31636.720000000001</v>
      </c>
      <c r="AN289" s="111" t="s">
        <v>55</v>
      </c>
      <c r="AO289" s="113">
        <f t="shared" ref="AO289:AW289" si="323">H289/H287</f>
        <v>0.24498299459070333</v>
      </c>
      <c r="AP289" s="113">
        <f t="shared" si="323"/>
        <v>0.27323597974457214</v>
      </c>
      <c r="AQ289" s="113">
        <f t="shared" si="323"/>
        <v>0.23237886198722307</v>
      </c>
      <c r="AR289" s="113">
        <f t="shared" si="323"/>
        <v>0.21925442076005577</v>
      </c>
      <c r="AS289" s="113">
        <f t="shared" si="323"/>
        <v>0.23163981162271771</v>
      </c>
      <c r="AT289" s="113">
        <f t="shared" si="323"/>
        <v>0.22119728927593399</v>
      </c>
      <c r="AU289" s="113">
        <f t="shared" si="323"/>
        <v>0.21820675928792521</v>
      </c>
      <c r="AV289" s="113">
        <f t="shared" si="323"/>
        <v>0.2184392628196444</v>
      </c>
      <c r="AW289" s="113">
        <f t="shared" si="323"/>
        <v>0.2279248732450703</v>
      </c>
      <c r="AY289" s="111" t="s">
        <v>55</v>
      </c>
      <c r="AZ289" s="179">
        <f t="shared" si="300"/>
        <v>1.6658843632167825E-2</v>
      </c>
      <c r="BA289" s="179">
        <f t="shared" si="301"/>
        <v>1.8580046622630905E-2</v>
      </c>
      <c r="BB289" s="179">
        <f t="shared" si="302"/>
        <v>1.5801762615131169E-2</v>
      </c>
      <c r="BC289" s="179">
        <f t="shared" si="303"/>
        <v>1.710184481928435E-2</v>
      </c>
      <c r="BD289" s="179">
        <f t="shared" si="304"/>
        <v>1.9921023799553725E-2</v>
      </c>
      <c r="BE289" s="179">
        <f t="shared" si="305"/>
        <v>2.1234939770489659E-2</v>
      </c>
      <c r="BF289" s="179">
        <f t="shared" si="306"/>
        <v>1.9638608335913271E-2</v>
      </c>
      <c r="BG289" s="179">
        <f t="shared" si="307"/>
        <v>1.9222655128128711E-2</v>
      </c>
      <c r="BH289" s="179">
        <f t="shared" si="308"/>
        <v>1.8233989859605625E-2</v>
      </c>
    </row>
    <row r="290" spans="2:68" x14ac:dyDescent="0.25">
      <c r="C290" s="83"/>
      <c r="D290" s="83"/>
      <c r="E290" s="109" t="s">
        <v>2</v>
      </c>
      <c r="F290" s="110" t="s">
        <v>63</v>
      </c>
      <c r="G290" s="111" t="s">
        <v>130</v>
      </c>
      <c r="H290" s="70">
        <v>214235</v>
      </c>
      <c r="I290" s="70">
        <v>250363</v>
      </c>
      <c r="J290" s="70">
        <v>241652</v>
      </c>
      <c r="K290" s="70">
        <v>209494</v>
      </c>
      <c r="L290" s="70">
        <v>212493</v>
      </c>
      <c r="M290" s="70">
        <v>245151</v>
      </c>
      <c r="N290" s="70">
        <v>252436</v>
      </c>
      <c r="O290" s="112">
        <v>264091</v>
      </c>
      <c r="P290" s="112">
        <v>285369</v>
      </c>
      <c r="R290" s="111" t="s">
        <v>130</v>
      </c>
      <c r="S290" s="220">
        <v>5.0999999999999996</v>
      </c>
      <c r="T290" s="220">
        <v>5</v>
      </c>
      <c r="U290" s="220">
        <v>4.7</v>
      </c>
      <c r="V290" s="220">
        <v>5.5</v>
      </c>
      <c r="W290" s="220">
        <v>6</v>
      </c>
      <c r="X290" s="220">
        <v>6.3</v>
      </c>
      <c r="Y290" s="220">
        <v>6</v>
      </c>
      <c r="Z290" s="220">
        <v>5</v>
      </c>
      <c r="AA290" s="220">
        <v>4.9000000000000004</v>
      </c>
      <c r="AC290" s="111" t="s">
        <v>130</v>
      </c>
      <c r="AD290" s="70">
        <f t="shared" si="312"/>
        <v>21851.97</v>
      </c>
      <c r="AE290" s="70">
        <f t="shared" si="293"/>
        <v>25036.3</v>
      </c>
      <c r="AF290" s="70">
        <f t="shared" si="294"/>
        <v>22715.288000000004</v>
      </c>
      <c r="AG290" s="70">
        <f t="shared" si="295"/>
        <v>23044.34</v>
      </c>
      <c r="AH290" s="70">
        <f t="shared" si="296"/>
        <v>25499.16</v>
      </c>
      <c r="AI290" s="70">
        <f t="shared" si="297"/>
        <v>30889.026000000002</v>
      </c>
      <c r="AJ290" s="70">
        <f t="shared" si="298"/>
        <v>30292.32</v>
      </c>
      <c r="AK290" s="70">
        <f t="shared" si="309"/>
        <v>26409.1</v>
      </c>
      <c r="AL290" s="70">
        <f t="shared" si="310"/>
        <v>27966.162</v>
      </c>
      <c r="AN290" s="111" t="s">
        <v>130</v>
      </c>
      <c r="AO290" s="113">
        <f t="shared" ref="AO290:AW290" si="324">H290/H287</f>
        <v>0.12105512080649546</v>
      </c>
      <c r="AP290" s="113">
        <f t="shared" si="324"/>
        <v>0.14764206604420599</v>
      </c>
      <c r="AQ290" s="113">
        <f t="shared" si="324"/>
        <v>0.14684529810290692</v>
      </c>
      <c r="AR290" s="113">
        <f t="shared" si="324"/>
        <v>0.13117420872136235</v>
      </c>
      <c r="AS290" s="113">
        <f t="shared" si="324"/>
        <v>0.13543393506222837</v>
      </c>
      <c r="AT290" s="113">
        <f t="shared" si="324"/>
        <v>0.15536722984813175</v>
      </c>
      <c r="AU290" s="113">
        <f t="shared" si="324"/>
        <v>0.1566177378416761</v>
      </c>
      <c r="AV290" s="113">
        <f t="shared" si="324"/>
        <v>0.15900772426964438</v>
      </c>
      <c r="AW290" s="113">
        <f t="shared" si="324"/>
        <v>0.16447392309461276</v>
      </c>
      <c r="AY290" s="111" t="s">
        <v>130</v>
      </c>
      <c r="AZ290" s="179">
        <f t="shared" si="300"/>
        <v>1.2347622322262535E-2</v>
      </c>
      <c r="BA290" s="179">
        <f t="shared" si="301"/>
        <v>1.4764206604420597E-2</v>
      </c>
      <c r="BB290" s="179">
        <f t="shared" si="302"/>
        <v>1.3803458021673251E-2</v>
      </c>
      <c r="BC290" s="179">
        <f t="shared" si="303"/>
        <v>1.4429162959349857E-2</v>
      </c>
      <c r="BD290" s="179">
        <f t="shared" si="304"/>
        <v>1.6252072207467404E-2</v>
      </c>
      <c r="BE290" s="179">
        <f t="shared" si="305"/>
        <v>1.9576270960864603E-2</v>
      </c>
      <c r="BF290" s="179">
        <f t="shared" si="306"/>
        <v>1.8794128541001133E-2</v>
      </c>
      <c r="BG290" s="179">
        <f t="shared" si="307"/>
        <v>1.5900772426964437E-2</v>
      </c>
      <c r="BH290" s="179">
        <f t="shared" si="308"/>
        <v>1.6118444463272052E-2</v>
      </c>
    </row>
    <row r="291" spans="2:68" s="108" customFormat="1" x14ac:dyDescent="0.25">
      <c r="B291" s="107"/>
      <c r="E291" s="109" t="s">
        <v>2</v>
      </c>
      <c r="F291" s="110" t="s">
        <v>63</v>
      </c>
      <c r="G291" s="111" t="s">
        <v>131</v>
      </c>
      <c r="H291" s="112">
        <v>510695</v>
      </c>
      <c r="I291" s="112">
        <v>473206</v>
      </c>
      <c r="J291" s="112">
        <v>549100</v>
      </c>
      <c r="K291" s="112">
        <v>583585</v>
      </c>
      <c r="L291" s="112">
        <v>593652</v>
      </c>
      <c r="M291" s="112">
        <v>566354</v>
      </c>
      <c r="N291" s="112">
        <v>632431</v>
      </c>
      <c r="O291" s="112">
        <v>667978</v>
      </c>
      <c r="P291" s="112">
        <v>696187</v>
      </c>
      <c r="R291" s="111" t="s">
        <v>131</v>
      </c>
      <c r="S291" s="220">
        <v>3</v>
      </c>
      <c r="T291" s="220">
        <v>3.4</v>
      </c>
      <c r="U291" s="220">
        <v>3</v>
      </c>
      <c r="V291" s="220">
        <v>2.4</v>
      </c>
      <c r="W291" s="220">
        <v>3.2</v>
      </c>
      <c r="X291" s="220">
        <v>2.7</v>
      </c>
      <c r="Y291" s="220">
        <v>2.7</v>
      </c>
      <c r="Z291" s="220">
        <v>3.1</v>
      </c>
      <c r="AA291" s="220">
        <v>3.1</v>
      </c>
      <c r="AC291" s="111" t="s">
        <v>131</v>
      </c>
      <c r="AD291" s="112">
        <f t="shared" si="312"/>
        <v>30641.7</v>
      </c>
      <c r="AE291" s="112">
        <f t="shared" si="293"/>
        <v>32178.007999999998</v>
      </c>
      <c r="AF291" s="112">
        <f t="shared" si="294"/>
        <v>32946</v>
      </c>
      <c r="AG291" s="112">
        <f t="shared" si="295"/>
        <v>28012.080000000002</v>
      </c>
      <c r="AH291" s="112">
        <f t="shared" si="296"/>
        <v>37993.728000000003</v>
      </c>
      <c r="AI291" s="112">
        <f t="shared" si="297"/>
        <v>30583.116000000002</v>
      </c>
      <c r="AJ291" s="112">
        <f t="shared" si="298"/>
        <v>34151.274000000005</v>
      </c>
      <c r="AK291" s="112">
        <f t="shared" si="309"/>
        <v>41414.635999999999</v>
      </c>
      <c r="AL291" s="112">
        <f t="shared" si="310"/>
        <v>43163.594000000005</v>
      </c>
      <c r="AN291" s="111" t="s">
        <v>131</v>
      </c>
      <c r="AO291" s="113">
        <f t="shared" ref="AO291:AW291" si="325">H291/H287</f>
        <v>0.28857210502613106</v>
      </c>
      <c r="AP291" s="113">
        <f t="shared" si="325"/>
        <v>0.27905525778375617</v>
      </c>
      <c r="AQ291" s="113">
        <f t="shared" si="325"/>
        <v>0.33367302231434537</v>
      </c>
      <c r="AR291" s="113">
        <f t="shared" si="325"/>
        <v>0.3654104680642703</v>
      </c>
      <c r="AS291" s="113">
        <f t="shared" si="325"/>
        <v>0.37836835292250565</v>
      </c>
      <c r="AT291" s="113">
        <f t="shared" si="325"/>
        <v>0.35893327823834625</v>
      </c>
      <c r="AU291" s="113">
        <f t="shared" si="325"/>
        <v>0.39237633523328308</v>
      </c>
      <c r="AV291" s="113">
        <f t="shared" si="325"/>
        <v>0.40218584367581067</v>
      </c>
      <c r="AW291" s="113">
        <f t="shared" si="325"/>
        <v>0.40125103671901702</v>
      </c>
      <c r="AY291" s="111" t="s">
        <v>131</v>
      </c>
      <c r="AZ291" s="204">
        <f t="shared" si="300"/>
        <v>1.7314326301567862E-2</v>
      </c>
      <c r="BA291" s="204">
        <f t="shared" si="301"/>
        <v>1.8975757529295419E-2</v>
      </c>
      <c r="BB291" s="204">
        <f t="shared" si="302"/>
        <v>2.0020381338860721E-2</v>
      </c>
      <c r="BC291" s="204">
        <f t="shared" si="303"/>
        <v>1.7539702467084976E-2</v>
      </c>
      <c r="BD291" s="204">
        <f t="shared" si="304"/>
        <v>2.4215574587040364E-2</v>
      </c>
      <c r="BE291" s="204">
        <f t="shared" si="305"/>
        <v>1.9382397024870698E-2</v>
      </c>
      <c r="BF291" s="204">
        <f t="shared" si="306"/>
        <v>2.1188322102597287E-2</v>
      </c>
      <c r="BG291" s="204">
        <f t="shared" si="307"/>
        <v>2.4935522307900262E-2</v>
      </c>
      <c r="BH291" s="204">
        <f t="shared" si="308"/>
        <v>2.4877564276579056E-2</v>
      </c>
    </row>
    <row r="292" spans="2:68" s="87" customFormat="1" x14ac:dyDescent="0.25">
      <c r="B292" s="84"/>
      <c r="C292" s="85"/>
      <c r="D292" s="85"/>
      <c r="E292" s="109" t="s">
        <v>3</v>
      </c>
      <c r="F292" s="110" t="s">
        <v>63</v>
      </c>
      <c r="G292" s="195" t="s">
        <v>7</v>
      </c>
      <c r="H292" s="69">
        <v>1858467</v>
      </c>
      <c r="I292" s="69">
        <v>1984241</v>
      </c>
      <c r="J292" s="69">
        <v>2095094</v>
      </c>
      <c r="K292" s="69">
        <v>2202523</v>
      </c>
      <c r="L292" s="69">
        <v>2270415</v>
      </c>
      <c r="M292" s="69">
        <v>2302244</v>
      </c>
      <c r="N292" s="69">
        <v>2314382</v>
      </c>
      <c r="O292" s="69">
        <v>2327035</v>
      </c>
      <c r="P292" s="69">
        <v>2275975</v>
      </c>
      <c r="R292" s="195" t="s">
        <v>7</v>
      </c>
      <c r="S292" s="226">
        <v>0.6</v>
      </c>
      <c r="T292" s="226">
        <v>0.6</v>
      </c>
      <c r="U292" s="226">
        <v>0.5</v>
      </c>
      <c r="V292" s="226">
        <v>0.6</v>
      </c>
      <c r="W292" s="226">
        <v>0.6</v>
      </c>
      <c r="X292" s="226">
        <v>0.7</v>
      </c>
      <c r="Y292" s="226">
        <v>0.5</v>
      </c>
      <c r="Z292" s="226">
        <v>0.5</v>
      </c>
      <c r="AA292" s="226">
        <v>0.6</v>
      </c>
      <c r="AC292" s="195" t="s">
        <v>7</v>
      </c>
      <c r="AD292" s="69">
        <f t="shared" si="312"/>
        <v>22301.603999999999</v>
      </c>
      <c r="AE292" s="69">
        <f t="shared" si="293"/>
        <v>23810.891999999996</v>
      </c>
      <c r="AF292" s="69">
        <f t="shared" si="294"/>
        <v>20950.939999999999</v>
      </c>
      <c r="AG292" s="69">
        <f t="shared" si="295"/>
        <v>26430.276000000002</v>
      </c>
      <c r="AH292" s="69">
        <f t="shared" si="296"/>
        <v>27244.98</v>
      </c>
      <c r="AI292" s="69">
        <f t="shared" si="297"/>
        <v>32231.415999999997</v>
      </c>
      <c r="AJ292" s="69">
        <f t="shared" si="298"/>
        <v>23143.82</v>
      </c>
      <c r="AK292" s="69">
        <f t="shared" si="309"/>
        <v>23270.35</v>
      </c>
      <c r="AL292" s="69">
        <f t="shared" si="310"/>
        <v>27311.7</v>
      </c>
      <c r="AN292" s="195" t="s">
        <v>7</v>
      </c>
      <c r="AO292" s="98">
        <f t="shared" ref="AO292:AW292" si="326">H292/H292</f>
        <v>1</v>
      </c>
      <c r="AP292" s="98">
        <f t="shared" si="326"/>
        <v>1</v>
      </c>
      <c r="AQ292" s="98">
        <f t="shared" si="326"/>
        <v>1</v>
      </c>
      <c r="AR292" s="98">
        <f t="shared" si="326"/>
        <v>1</v>
      </c>
      <c r="AS292" s="98">
        <f t="shared" si="326"/>
        <v>1</v>
      </c>
      <c r="AT292" s="98">
        <f t="shared" si="326"/>
        <v>1</v>
      </c>
      <c r="AU292" s="98">
        <f t="shared" si="326"/>
        <v>1</v>
      </c>
      <c r="AV292" s="98">
        <f t="shared" si="326"/>
        <v>1</v>
      </c>
      <c r="AW292" s="98">
        <f t="shared" si="326"/>
        <v>1</v>
      </c>
      <c r="AX292" s="191"/>
      <c r="AY292" s="195" t="s">
        <v>7</v>
      </c>
      <c r="AZ292" s="178">
        <f t="shared" si="300"/>
        <v>1.2E-2</v>
      </c>
      <c r="BA292" s="178">
        <f t="shared" si="301"/>
        <v>1.2E-2</v>
      </c>
      <c r="BB292" s="178">
        <f t="shared" si="302"/>
        <v>0.01</v>
      </c>
      <c r="BC292" s="178">
        <f t="shared" si="303"/>
        <v>1.2E-2</v>
      </c>
      <c r="BD292" s="178">
        <f t="shared" si="304"/>
        <v>1.2E-2</v>
      </c>
      <c r="BE292" s="178">
        <f t="shared" si="305"/>
        <v>1.3999999999999999E-2</v>
      </c>
      <c r="BF292" s="178">
        <f t="shared" si="306"/>
        <v>0.01</v>
      </c>
      <c r="BG292" s="178">
        <f t="shared" si="307"/>
        <v>0.01</v>
      </c>
      <c r="BH292" s="178">
        <f t="shared" si="308"/>
        <v>1.2E-2</v>
      </c>
      <c r="BI292" s="191"/>
      <c r="BJ292" s="191"/>
      <c r="BK292" s="191"/>
      <c r="BL292" s="191"/>
      <c r="BM292" s="191"/>
      <c r="BN292" s="191"/>
      <c r="BO292" s="191"/>
      <c r="BP292" s="191"/>
    </row>
    <row r="293" spans="2:68" s="108" customFormat="1" x14ac:dyDescent="0.25">
      <c r="B293" s="107"/>
      <c r="E293" s="109" t="s">
        <v>3</v>
      </c>
      <c r="F293" s="110" t="s">
        <v>63</v>
      </c>
      <c r="G293" s="111" t="s">
        <v>54</v>
      </c>
      <c r="H293" s="112">
        <v>550941</v>
      </c>
      <c r="I293" s="112">
        <v>529443</v>
      </c>
      <c r="J293" s="112">
        <v>531287</v>
      </c>
      <c r="K293" s="112">
        <v>572216</v>
      </c>
      <c r="L293" s="112">
        <v>578449</v>
      </c>
      <c r="M293" s="112">
        <v>570014</v>
      </c>
      <c r="N293" s="112">
        <v>526464</v>
      </c>
      <c r="O293" s="112">
        <v>481885</v>
      </c>
      <c r="P293" s="112">
        <v>462180</v>
      </c>
      <c r="R293" s="111" t="s">
        <v>54</v>
      </c>
      <c r="S293" s="220">
        <v>3</v>
      </c>
      <c r="T293" s="220">
        <v>3.2</v>
      </c>
      <c r="U293" s="220">
        <v>3</v>
      </c>
      <c r="V293" s="220">
        <v>2.4</v>
      </c>
      <c r="W293" s="220">
        <v>3.5</v>
      </c>
      <c r="X293" s="220">
        <v>3.6</v>
      </c>
      <c r="Y293" s="220">
        <v>3</v>
      </c>
      <c r="Z293" s="220">
        <v>3.8</v>
      </c>
      <c r="AA293" s="220">
        <v>3.5</v>
      </c>
      <c r="AC293" s="111" t="s">
        <v>54</v>
      </c>
      <c r="AD293" s="112">
        <f t="shared" si="312"/>
        <v>33056.46</v>
      </c>
      <c r="AE293" s="112">
        <f t="shared" si="293"/>
        <v>33884.351999999999</v>
      </c>
      <c r="AF293" s="112">
        <f t="shared" si="294"/>
        <v>31877.22</v>
      </c>
      <c r="AG293" s="112">
        <f t="shared" si="295"/>
        <v>27466.367999999999</v>
      </c>
      <c r="AH293" s="112">
        <f t="shared" si="296"/>
        <v>40491.43</v>
      </c>
      <c r="AI293" s="112">
        <f t="shared" si="297"/>
        <v>41041.008000000002</v>
      </c>
      <c r="AJ293" s="112">
        <f t="shared" si="298"/>
        <v>31587.84</v>
      </c>
      <c r="AK293" s="112">
        <f t="shared" si="309"/>
        <v>36623.26</v>
      </c>
      <c r="AL293" s="112">
        <f t="shared" si="310"/>
        <v>32352.6</v>
      </c>
      <c r="AN293" s="111" t="s">
        <v>54</v>
      </c>
      <c r="AO293" s="113">
        <f t="shared" ref="AO293:AW293" si="327">H293/H292</f>
        <v>0.29644917020318357</v>
      </c>
      <c r="AP293" s="113">
        <f t="shared" si="327"/>
        <v>0.26682393922915615</v>
      </c>
      <c r="AQ293" s="113">
        <f t="shared" si="327"/>
        <v>0.25358623527154389</v>
      </c>
      <c r="AR293" s="113">
        <f t="shared" si="327"/>
        <v>0.25980023818139469</v>
      </c>
      <c r="AS293" s="113">
        <f t="shared" si="327"/>
        <v>0.25477676988568171</v>
      </c>
      <c r="AT293" s="113">
        <f t="shared" si="327"/>
        <v>0.24759061159460075</v>
      </c>
      <c r="AU293" s="113">
        <f t="shared" si="327"/>
        <v>0.22747498036192815</v>
      </c>
      <c r="AV293" s="113">
        <f t="shared" si="327"/>
        <v>0.20708111394972573</v>
      </c>
      <c r="AW293" s="113">
        <f t="shared" si="327"/>
        <v>0.20306901437845318</v>
      </c>
      <c r="AY293" s="111" t="s">
        <v>54</v>
      </c>
      <c r="AZ293" s="179">
        <f t="shared" si="300"/>
        <v>1.7786950212191014E-2</v>
      </c>
      <c r="BA293" s="179">
        <f t="shared" si="301"/>
        <v>1.7076732110665994E-2</v>
      </c>
      <c r="BB293" s="179">
        <f t="shared" si="302"/>
        <v>1.5215174116292633E-2</v>
      </c>
      <c r="BC293" s="179">
        <f t="shared" si="303"/>
        <v>1.2470411432706946E-2</v>
      </c>
      <c r="BD293" s="179">
        <f t="shared" si="304"/>
        <v>1.7834373891997719E-2</v>
      </c>
      <c r="BE293" s="179">
        <f t="shared" si="305"/>
        <v>1.7826524034811254E-2</v>
      </c>
      <c r="BF293" s="179">
        <f t="shared" si="306"/>
        <v>1.3648498821715689E-2</v>
      </c>
      <c r="BG293" s="179">
        <f t="shared" si="307"/>
        <v>1.5738164660179153E-2</v>
      </c>
      <c r="BH293" s="179">
        <f t="shared" si="308"/>
        <v>1.4214831006491721E-2</v>
      </c>
    </row>
    <row r="294" spans="2:68" s="108" customFormat="1" x14ac:dyDescent="0.25">
      <c r="B294" s="107"/>
      <c r="E294" s="109" t="s">
        <v>3</v>
      </c>
      <c r="F294" s="110" t="s">
        <v>63</v>
      </c>
      <c r="G294" s="111" t="s">
        <v>55</v>
      </c>
      <c r="H294" s="70">
        <v>697488</v>
      </c>
      <c r="I294" s="70">
        <v>825518</v>
      </c>
      <c r="J294" s="112">
        <v>828031</v>
      </c>
      <c r="K294" s="112">
        <v>874005</v>
      </c>
      <c r="L294" s="112">
        <v>918908</v>
      </c>
      <c r="M294" s="112">
        <v>882445</v>
      </c>
      <c r="N294" s="112">
        <v>851815</v>
      </c>
      <c r="O294" s="112">
        <v>912906</v>
      </c>
      <c r="P294" s="112">
        <v>829407</v>
      </c>
      <c r="R294" s="111" t="s">
        <v>55</v>
      </c>
      <c r="S294" s="81">
        <v>2.8</v>
      </c>
      <c r="T294" s="81">
        <v>2.2999999999999998</v>
      </c>
      <c r="U294" s="81">
        <v>2.1</v>
      </c>
      <c r="V294" s="81">
        <v>1.8</v>
      </c>
      <c r="W294" s="81">
        <v>3</v>
      </c>
      <c r="X294" s="81">
        <v>2.7</v>
      </c>
      <c r="Y294" s="81">
        <v>3.2</v>
      </c>
      <c r="Z294" s="81">
        <v>2.4</v>
      </c>
      <c r="AA294" s="81">
        <v>2.5</v>
      </c>
      <c r="AC294" s="111" t="s">
        <v>55</v>
      </c>
      <c r="AD294" s="70">
        <f t="shared" si="312"/>
        <v>39059.328000000001</v>
      </c>
      <c r="AE294" s="70">
        <f t="shared" si="293"/>
        <v>37973.828000000001</v>
      </c>
      <c r="AF294" s="70">
        <f t="shared" si="294"/>
        <v>34777.302000000003</v>
      </c>
      <c r="AG294" s="70">
        <f t="shared" si="295"/>
        <v>31464.18</v>
      </c>
      <c r="AH294" s="70">
        <f t="shared" si="296"/>
        <v>55134.48</v>
      </c>
      <c r="AI294" s="70">
        <f t="shared" si="297"/>
        <v>47652.03</v>
      </c>
      <c r="AJ294" s="70">
        <f t="shared" si="298"/>
        <v>54516.160000000003</v>
      </c>
      <c r="AK294" s="70">
        <f t="shared" si="309"/>
        <v>43819.487999999998</v>
      </c>
      <c r="AL294" s="70">
        <f t="shared" si="310"/>
        <v>41470.35</v>
      </c>
      <c r="AN294" s="111" t="s">
        <v>55</v>
      </c>
      <c r="AO294" s="113">
        <f t="shared" ref="AO294:AW294" si="328">H294/H292</f>
        <v>0.37530287059172962</v>
      </c>
      <c r="AP294" s="113">
        <f t="shared" si="328"/>
        <v>0.41603716484035963</v>
      </c>
      <c r="AQ294" s="113">
        <f t="shared" si="328"/>
        <v>0.3952237942545776</v>
      </c>
      <c r="AR294" s="113">
        <f t="shared" si="328"/>
        <v>0.39681991970117908</v>
      </c>
      <c r="AS294" s="113">
        <f t="shared" si="328"/>
        <v>0.4047312936181271</v>
      </c>
      <c r="AT294" s="113">
        <f t="shared" si="328"/>
        <v>0.3832977738241472</v>
      </c>
      <c r="AU294" s="113">
        <f t="shared" si="328"/>
        <v>0.36805289705848043</v>
      </c>
      <c r="AV294" s="113">
        <f t="shared" si="328"/>
        <v>0.39230437015343561</v>
      </c>
      <c r="AW294" s="113">
        <f t="shared" si="328"/>
        <v>0.36441832621184328</v>
      </c>
      <c r="AY294" s="111" t="s">
        <v>55</v>
      </c>
      <c r="AZ294" s="179">
        <f t="shared" si="300"/>
        <v>2.1016960753136856E-2</v>
      </c>
      <c r="BA294" s="179">
        <f t="shared" si="301"/>
        <v>1.913770958265654E-2</v>
      </c>
      <c r="BB294" s="179">
        <f t="shared" si="302"/>
        <v>1.6599399358692261E-2</v>
      </c>
      <c r="BC294" s="179">
        <f t="shared" si="303"/>
        <v>1.4285517109242448E-2</v>
      </c>
      <c r="BD294" s="179">
        <f t="shared" si="304"/>
        <v>2.4283877617087626E-2</v>
      </c>
      <c r="BE294" s="179">
        <f t="shared" si="305"/>
        <v>2.069807978650395E-2</v>
      </c>
      <c r="BF294" s="179">
        <f t="shared" si="306"/>
        <v>2.3555385411742749E-2</v>
      </c>
      <c r="BG294" s="179">
        <f t="shared" si="307"/>
        <v>1.8830609767364906E-2</v>
      </c>
      <c r="BH294" s="179">
        <f t="shared" si="308"/>
        <v>1.8220916310592163E-2</v>
      </c>
    </row>
    <row r="295" spans="2:68" s="108" customFormat="1" x14ac:dyDescent="0.25">
      <c r="B295" s="107"/>
      <c r="E295" s="109" t="s">
        <v>3</v>
      </c>
      <c r="F295" s="110" t="s">
        <v>63</v>
      </c>
      <c r="G295" s="111" t="s">
        <v>130</v>
      </c>
      <c r="H295" s="70">
        <v>180307</v>
      </c>
      <c r="I295" s="70">
        <v>231061</v>
      </c>
      <c r="J295" s="70">
        <v>266289</v>
      </c>
      <c r="K295" s="70">
        <v>238459</v>
      </c>
      <c r="L295" s="70">
        <v>242693</v>
      </c>
      <c r="M295" s="70">
        <v>289645</v>
      </c>
      <c r="N295" s="70">
        <v>294823</v>
      </c>
      <c r="O295" s="112">
        <v>329793</v>
      </c>
      <c r="P295" s="112">
        <v>293630</v>
      </c>
      <c r="R295" s="111" t="s">
        <v>130</v>
      </c>
      <c r="S295" s="220">
        <v>5.9</v>
      </c>
      <c r="T295" s="220">
        <v>5.5</v>
      </c>
      <c r="U295" s="220">
        <v>4.7</v>
      </c>
      <c r="V295" s="220">
        <v>5.5</v>
      </c>
      <c r="W295" s="220">
        <v>6</v>
      </c>
      <c r="X295" s="220">
        <v>5.6</v>
      </c>
      <c r="Y295" s="220">
        <v>5.4</v>
      </c>
      <c r="Z295" s="220">
        <v>4.7</v>
      </c>
      <c r="AA295" s="220">
        <v>5</v>
      </c>
      <c r="AC295" s="111" t="s">
        <v>130</v>
      </c>
      <c r="AD295" s="70">
        <f t="shared" si="312"/>
        <v>21276.226000000002</v>
      </c>
      <c r="AE295" s="70">
        <f t="shared" si="293"/>
        <v>25416.71</v>
      </c>
      <c r="AF295" s="70">
        <f t="shared" si="294"/>
        <v>25031.166000000001</v>
      </c>
      <c r="AG295" s="70">
        <f t="shared" si="295"/>
        <v>26230.49</v>
      </c>
      <c r="AH295" s="70">
        <f t="shared" si="296"/>
        <v>29123.16</v>
      </c>
      <c r="AI295" s="70">
        <f t="shared" si="297"/>
        <v>32440.240000000002</v>
      </c>
      <c r="AJ295" s="70">
        <f t="shared" si="298"/>
        <v>31840.884000000005</v>
      </c>
      <c r="AK295" s="70">
        <f t="shared" si="309"/>
        <v>31000.542000000001</v>
      </c>
      <c r="AL295" s="70">
        <f t="shared" si="310"/>
        <v>29363</v>
      </c>
      <c r="AN295" s="111" t="s">
        <v>130</v>
      </c>
      <c r="AO295" s="113">
        <f t="shared" ref="AO295:AW295" si="329">H295/H292</f>
        <v>9.7019209918712573E-2</v>
      </c>
      <c r="AP295" s="113">
        <f t="shared" si="329"/>
        <v>0.11644805242911521</v>
      </c>
      <c r="AQ295" s="113">
        <f t="shared" si="329"/>
        <v>0.12710121837015428</v>
      </c>
      <c r="AR295" s="113">
        <f t="shared" si="329"/>
        <v>0.10826629279240217</v>
      </c>
      <c r="AS295" s="113">
        <f t="shared" si="329"/>
        <v>0.1068936736235446</v>
      </c>
      <c r="AT295" s="113">
        <f t="shared" si="329"/>
        <v>0.12580986203026265</v>
      </c>
      <c r="AU295" s="113">
        <f t="shared" si="329"/>
        <v>0.12738735437797219</v>
      </c>
      <c r="AV295" s="113">
        <f t="shared" si="329"/>
        <v>0.14172240640987352</v>
      </c>
      <c r="AW295" s="113">
        <f t="shared" si="329"/>
        <v>0.12901284065071014</v>
      </c>
      <c r="AY295" s="111" t="s">
        <v>130</v>
      </c>
      <c r="AZ295" s="179">
        <f t="shared" si="300"/>
        <v>1.1448266770408085E-2</v>
      </c>
      <c r="BA295" s="179">
        <f t="shared" si="301"/>
        <v>1.2809285767202673E-2</v>
      </c>
      <c r="BB295" s="179">
        <f t="shared" si="302"/>
        <v>1.1947514526794503E-2</v>
      </c>
      <c r="BC295" s="179">
        <f t="shared" si="303"/>
        <v>1.1909292207164239E-2</v>
      </c>
      <c r="BD295" s="179">
        <f t="shared" si="304"/>
        <v>1.2827240834825351E-2</v>
      </c>
      <c r="BE295" s="179">
        <f t="shared" si="305"/>
        <v>1.4090704547389416E-2</v>
      </c>
      <c r="BF295" s="179">
        <f t="shared" si="306"/>
        <v>1.3757834272820997E-2</v>
      </c>
      <c r="BG295" s="179">
        <f t="shared" si="307"/>
        <v>1.332190620252811E-2</v>
      </c>
      <c r="BH295" s="179">
        <f t="shared" si="308"/>
        <v>1.2901284065071015E-2</v>
      </c>
    </row>
    <row r="296" spans="2:68" s="108" customFormat="1" x14ac:dyDescent="0.25">
      <c r="B296" s="107"/>
      <c r="E296" s="109" t="s">
        <v>3</v>
      </c>
      <c r="F296" s="110" t="s">
        <v>63</v>
      </c>
      <c r="G296" s="111" t="s">
        <v>131</v>
      </c>
      <c r="H296" s="112">
        <v>429731</v>
      </c>
      <c r="I296" s="112">
        <v>397971</v>
      </c>
      <c r="J296" s="112">
        <v>469063</v>
      </c>
      <c r="K296" s="112">
        <v>516456</v>
      </c>
      <c r="L296" s="112">
        <v>530364</v>
      </c>
      <c r="M296" s="112">
        <v>560139</v>
      </c>
      <c r="N296" s="112">
        <v>641279</v>
      </c>
      <c r="O296" s="112">
        <v>602451</v>
      </c>
      <c r="P296" s="112">
        <v>690758</v>
      </c>
      <c r="R296" s="111" t="s">
        <v>131</v>
      </c>
      <c r="S296" s="220">
        <v>3.4</v>
      </c>
      <c r="T296" s="220">
        <v>4.3</v>
      </c>
      <c r="U296" s="220">
        <v>3.1</v>
      </c>
      <c r="V296" s="220">
        <v>2.4</v>
      </c>
      <c r="W296" s="220">
        <v>3.5</v>
      </c>
      <c r="X296" s="220">
        <v>3.6</v>
      </c>
      <c r="Y296" s="220">
        <v>2.9</v>
      </c>
      <c r="Z296" s="220">
        <v>3.3</v>
      </c>
      <c r="AA296" s="220">
        <v>3.1</v>
      </c>
      <c r="AC296" s="111" t="s">
        <v>131</v>
      </c>
      <c r="AD296" s="112">
        <f t="shared" si="312"/>
        <v>29221.707999999999</v>
      </c>
      <c r="AE296" s="112">
        <f t="shared" si="293"/>
        <v>34225.505999999994</v>
      </c>
      <c r="AF296" s="112">
        <f t="shared" si="294"/>
        <v>29081.906000000003</v>
      </c>
      <c r="AG296" s="112">
        <f t="shared" si="295"/>
        <v>24789.887999999999</v>
      </c>
      <c r="AH296" s="112">
        <f t="shared" si="296"/>
        <v>37125.480000000003</v>
      </c>
      <c r="AI296" s="112">
        <f t="shared" si="297"/>
        <v>40330.008000000002</v>
      </c>
      <c r="AJ296" s="112">
        <f t="shared" si="298"/>
        <v>37194.182000000001</v>
      </c>
      <c r="AK296" s="112">
        <f t="shared" si="309"/>
        <v>39761.765999999996</v>
      </c>
      <c r="AL296" s="112">
        <f t="shared" si="310"/>
        <v>42826.996000000006</v>
      </c>
      <c r="AN296" s="111" t="s">
        <v>131</v>
      </c>
      <c r="AO296" s="113">
        <f t="shared" ref="AO296:AW296" si="330">H296/H292</f>
        <v>0.23122874928637421</v>
      </c>
      <c r="AP296" s="113">
        <f t="shared" si="330"/>
        <v>0.20056585868349661</v>
      </c>
      <c r="AQ296" s="113">
        <f t="shared" si="330"/>
        <v>0.22388637454930424</v>
      </c>
      <c r="AR296" s="113">
        <f t="shared" si="330"/>
        <v>0.23448381696808615</v>
      </c>
      <c r="AS296" s="113">
        <f t="shared" si="330"/>
        <v>0.23359782242453472</v>
      </c>
      <c r="AT296" s="113">
        <f t="shared" si="330"/>
        <v>0.24330131819216383</v>
      </c>
      <c r="AU296" s="113">
        <f t="shared" si="330"/>
        <v>0.27708433612083055</v>
      </c>
      <c r="AV296" s="113">
        <f t="shared" si="330"/>
        <v>0.25889210948696517</v>
      </c>
      <c r="AW296" s="113">
        <f t="shared" si="330"/>
        <v>0.3034998187589934</v>
      </c>
      <c r="AY296" s="111" t="s">
        <v>131</v>
      </c>
      <c r="AZ296" s="179">
        <f t="shared" si="300"/>
        <v>1.5723554951473446E-2</v>
      </c>
      <c r="BA296" s="179">
        <f t="shared" si="301"/>
        <v>1.7248663846780709E-2</v>
      </c>
      <c r="BB296" s="179">
        <f t="shared" si="302"/>
        <v>1.3880955222056863E-2</v>
      </c>
      <c r="BC296" s="179">
        <f t="shared" si="303"/>
        <v>1.1255223214468136E-2</v>
      </c>
      <c r="BD296" s="179">
        <f t="shared" si="304"/>
        <v>1.6351847569717429E-2</v>
      </c>
      <c r="BE296" s="179">
        <f t="shared" si="305"/>
        <v>1.7517694909835797E-2</v>
      </c>
      <c r="BF296" s="179">
        <f t="shared" si="306"/>
        <v>1.6070891495008174E-2</v>
      </c>
      <c r="BG296" s="179">
        <f t="shared" si="307"/>
        <v>1.70868792261397E-2</v>
      </c>
      <c r="BH296" s="179">
        <f t="shared" si="308"/>
        <v>1.8816988763057593E-2</v>
      </c>
    </row>
    <row r="297" spans="2:68" s="87" customFormat="1" x14ac:dyDescent="0.25">
      <c r="B297" s="84"/>
      <c r="C297" s="85"/>
      <c r="D297" s="85"/>
      <c r="E297" s="109" t="s">
        <v>45</v>
      </c>
      <c r="F297" s="110" t="s">
        <v>63</v>
      </c>
      <c r="G297" s="195" t="s">
        <v>7</v>
      </c>
      <c r="H297" s="69">
        <v>886144</v>
      </c>
      <c r="I297" s="69">
        <v>915793</v>
      </c>
      <c r="J297" s="69">
        <v>956183</v>
      </c>
      <c r="K297" s="69">
        <v>1030539</v>
      </c>
      <c r="L297" s="69">
        <v>1101232</v>
      </c>
      <c r="M297" s="69">
        <v>1187217</v>
      </c>
      <c r="N297" s="69">
        <v>1293629</v>
      </c>
      <c r="O297" s="69">
        <v>1397804</v>
      </c>
      <c r="P297" s="69">
        <v>1504001</v>
      </c>
      <c r="R297" s="195" t="s">
        <v>7</v>
      </c>
      <c r="S297" s="226">
        <v>0.9</v>
      </c>
      <c r="T297" s="226">
        <v>0.8</v>
      </c>
      <c r="U297" s="226">
        <v>0.8</v>
      </c>
      <c r="V297" s="226">
        <v>0.7</v>
      </c>
      <c r="W297" s="226">
        <v>0.7</v>
      </c>
      <c r="X297" s="226">
        <v>0.9</v>
      </c>
      <c r="Y297" s="226">
        <v>0.9</v>
      </c>
      <c r="Z297" s="226">
        <v>0.6</v>
      </c>
      <c r="AA297" s="226">
        <v>0.7</v>
      </c>
      <c r="AC297" s="195" t="s">
        <v>7</v>
      </c>
      <c r="AD297" s="69">
        <f t="shared" si="312"/>
        <v>15950.591999999999</v>
      </c>
      <c r="AE297" s="69">
        <f t="shared" si="293"/>
        <v>14652.688</v>
      </c>
      <c r="AF297" s="69">
        <f t="shared" si="294"/>
        <v>15298.928</v>
      </c>
      <c r="AG297" s="69">
        <f t="shared" si="295"/>
        <v>14427.545999999998</v>
      </c>
      <c r="AH297" s="69">
        <f t="shared" si="296"/>
        <v>15417.247999999998</v>
      </c>
      <c r="AI297" s="69">
        <f t="shared" si="297"/>
        <v>21369.906000000003</v>
      </c>
      <c r="AJ297" s="69">
        <f t="shared" si="298"/>
        <v>23285.322</v>
      </c>
      <c r="AK297" s="69">
        <f t="shared" si="309"/>
        <v>16773.648000000001</v>
      </c>
      <c r="AL297" s="69">
        <f t="shared" si="310"/>
        <v>21056.013999999999</v>
      </c>
      <c r="AN297" s="195" t="s">
        <v>7</v>
      </c>
      <c r="AO297" s="98">
        <f t="shared" ref="AO297:AW297" si="331">H297/H297</f>
        <v>1</v>
      </c>
      <c r="AP297" s="98">
        <f t="shared" si="331"/>
        <v>1</v>
      </c>
      <c r="AQ297" s="98">
        <f t="shared" si="331"/>
        <v>1</v>
      </c>
      <c r="AR297" s="98">
        <f t="shared" si="331"/>
        <v>1</v>
      </c>
      <c r="AS297" s="98">
        <f t="shared" si="331"/>
        <v>1</v>
      </c>
      <c r="AT297" s="98">
        <f t="shared" si="331"/>
        <v>1</v>
      </c>
      <c r="AU297" s="98">
        <f t="shared" si="331"/>
        <v>1</v>
      </c>
      <c r="AV297" s="98">
        <f t="shared" si="331"/>
        <v>1</v>
      </c>
      <c r="AW297" s="98">
        <f t="shared" si="331"/>
        <v>1</v>
      </c>
      <c r="AX297" s="191"/>
      <c r="AY297" s="195" t="s">
        <v>7</v>
      </c>
      <c r="AZ297" s="178">
        <f t="shared" si="300"/>
        <v>1.8000000000000002E-2</v>
      </c>
      <c r="BA297" s="178">
        <f t="shared" si="301"/>
        <v>1.6E-2</v>
      </c>
      <c r="BB297" s="178">
        <f t="shared" si="302"/>
        <v>1.6E-2</v>
      </c>
      <c r="BC297" s="178">
        <f t="shared" si="303"/>
        <v>1.3999999999999999E-2</v>
      </c>
      <c r="BD297" s="178">
        <f t="shared" si="304"/>
        <v>1.3999999999999999E-2</v>
      </c>
      <c r="BE297" s="178">
        <f t="shared" si="305"/>
        <v>1.8000000000000002E-2</v>
      </c>
      <c r="BF297" s="178">
        <f t="shared" si="306"/>
        <v>1.8000000000000002E-2</v>
      </c>
      <c r="BG297" s="178">
        <f t="shared" si="307"/>
        <v>1.2E-2</v>
      </c>
      <c r="BH297" s="178">
        <f t="shared" si="308"/>
        <v>1.3999999999999999E-2</v>
      </c>
      <c r="BI297" s="191"/>
      <c r="BJ297" s="191"/>
      <c r="BK297" s="191"/>
      <c r="BL297" s="191"/>
      <c r="BM297" s="191"/>
      <c r="BN297" s="191"/>
      <c r="BO297" s="191"/>
      <c r="BP297" s="191"/>
    </row>
    <row r="298" spans="2:68" s="108" customFormat="1" x14ac:dyDescent="0.25">
      <c r="B298" s="107"/>
      <c r="E298" s="109" t="s">
        <v>45</v>
      </c>
      <c r="F298" s="110" t="s">
        <v>63</v>
      </c>
      <c r="G298" s="111" t="s">
        <v>54</v>
      </c>
      <c r="H298" s="112">
        <v>125634</v>
      </c>
      <c r="I298" s="112">
        <v>116285</v>
      </c>
      <c r="J298" s="112">
        <v>120855</v>
      </c>
      <c r="K298" s="112">
        <v>126432</v>
      </c>
      <c r="L298" s="112">
        <v>124570</v>
      </c>
      <c r="M298" s="112">
        <v>116811</v>
      </c>
      <c r="N298" s="112">
        <v>135370</v>
      </c>
      <c r="O298" s="112">
        <v>148209</v>
      </c>
      <c r="P298" s="112">
        <v>169405</v>
      </c>
      <c r="R298" s="111" t="s">
        <v>54</v>
      </c>
      <c r="S298" s="220">
        <v>6.7</v>
      </c>
      <c r="T298" s="220">
        <v>7.8</v>
      </c>
      <c r="U298" s="220">
        <v>6.8</v>
      </c>
      <c r="V298" s="220">
        <v>7</v>
      </c>
      <c r="W298" s="220">
        <v>7.6</v>
      </c>
      <c r="X298" s="220">
        <v>4</v>
      </c>
      <c r="Y298" s="220">
        <v>7.2</v>
      </c>
      <c r="Z298" s="220">
        <v>7.3</v>
      </c>
      <c r="AA298" s="220">
        <v>6.5</v>
      </c>
      <c r="AC298" s="111" t="s">
        <v>54</v>
      </c>
      <c r="AD298" s="112">
        <f t="shared" si="312"/>
        <v>16834.956000000002</v>
      </c>
      <c r="AE298" s="112">
        <f t="shared" si="293"/>
        <v>18140.46</v>
      </c>
      <c r="AF298" s="112">
        <f t="shared" si="294"/>
        <v>16436.28</v>
      </c>
      <c r="AG298" s="112">
        <f t="shared" si="295"/>
        <v>17700.48</v>
      </c>
      <c r="AH298" s="112">
        <f t="shared" si="296"/>
        <v>18934.64</v>
      </c>
      <c r="AI298" s="112">
        <f t="shared" si="297"/>
        <v>9344.8799999999992</v>
      </c>
      <c r="AJ298" s="112">
        <f t="shared" si="298"/>
        <v>19493.28</v>
      </c>
      <c r="AK298" s="112">
        <f t="shared" si="309"/>
        <v>21638.513999999999</v>
      </c>
      <c r="AL298" s="112">
        <f t="shared" si="310"/>
        <v>22022.65</v>
      </c>
      <c r="AN298" s="111" t="s">
        <v>54</v>
      </c>
      <c r="AO298" s="113">
        <f t="shared" ref="AO298:AW298" si="332">H298/H297</f>
        <v>0.14177605445616062</v>
      </c>
      <c r="AP298" s="113">
        <f t="shared" si="332"/>
        <v>0.12697738462731206</v>
      </c>
      <c r="AQ298" s="113">
        <f t="shared" si="332"/>
        <v>0.12639316950834725</v>
      </c>
      <c r="AR298" s="113">
        <f t="shared" si="332"/>
        <v>0.12268531321958703</v>
      </c>
      <c r="AS298" s="113">
        <f t="shared" si="332"/>
        <v>0.11311876153253811</v>
      </c>
      <c r="AT298" s="113">
        <f t="shared" si="332"/>
        <v>9.8390605929665767E-2</v>
      </c>
      <c r="AU298" s="113">
        <f t="shared" si="332"/>
        <v>0.10464360338242262</v>
      </c>
      <c r="AV298" s="113">
        <f t="shared" si="332"/>
        <v>0.10602988687970559</v>
      </c>
      <c r="AW298" s="113">
        <f t="shared" si="332"/>
        <v>0.11263622830038011</v>
      </c>
      <c r="AY298" s="111" t="s">
        <v>54</v>
      </c>
      <c r="AZ298" s="179">
        <f t="shared" si="300"/>
        <v>1.8997991297125524E-2</v>
      </c>
      <c r="BA298" s="179">
        <f t="shared" si="301"/>
        <v>1.9808472001860682E-2</v>
      </c>
      <c r="BB298" s="179">
        <f t="shared" si="302"/>
        <v>1.7189471053135227E-2</v>
      </c>
      <c r="BC298" s="179">
        <f t="shared" si="303"/>
        <v>1.7175943850742184E-2</v>
      </c>
      <c r="BD298" s="179">
        <f t="shared" si="304"/>
        <v>1.7194051752945791E-2</v>
      </c>
      <c r="BE298" s="179">
        <f t="shared" si="305"/>
        <v>7.871248474373262E-3</v>
      </c>
      <c r="BF298" s="179">
        <f t="shared" si="306"/>
        <v>1.5068678887068858E-2</v>
      </c>
      <c r="BG298" s="179">
        <f t="shared" si="307"/>
        <v>1.5480363484437017E-2</v>
      </c>
      <c r="BH298" s="179">
        <f t="shared" si="308"/>
        <v>1.4642709679049414E-2</v>
      </c>
    </row>
    <row r="299" spans="2:68" s="108" customFormat="1" x14ac:dyDescent="0.25">
      <c r="B299" s="107"/>
      <c r="E299" s="109" t="s">
        <v>45</v>
      </c>
      <c r="F299" s="110" t="s">
        <v>63</v>
      </c>
      <c r="G299" s="111" t="s">
        <v>55</v>
      </c>
      <c r="H299" s="70">
        <v>370697</v>
      </c>
      <c r="I299" s="70">
        <v>407932</v>
      </c>
      <c r="J299" s="70">
        <v>414888</v>
      </c>
      <c r="K299" s="70">
        <v>468906</v>
      </c>
      <c r="L299" s="70">
        <v>504806</v>
      </c>
      <c r="M299" s="70">
        <v>552342</v>
      </c>
      <c r="N299" s="70">
        <v>619310</v>
      </c>
      <c r="O299" s="112">
        <v>644761</v>
      </c>
      <c r="P299" s="112">
        <v>703314</v>
      </c>
      <c r="R299" s="111" t="s">
        <v>55</v>
      </c>
      <c r="S299" s="81">
        <v>2.8</v>
      </c>
      <c r="T299" s="81">
        <v>3.2</v>
      </c>
      <c r="U299" s="81">
        <v>2.8</v>
      </c>
      <c r="V299" s="81">
        <v>3.2</v>
      </c>
      <c r="W299" s="81">
        <v>3.1</v>
      </c>
      <c r="X299" s="81">
        <v>3.2</v>
      </c>
      <c r="Y299" s="81">
        <v>3.2</v>
      </c>
      <c r="Z299" s="81">
        <v>3.1</v>
      </c>
      <c r="AA299" s="81">
        <v>3.1</v>
      </c>
      <c r="AC299" s="111" t="s">
        <v>55</v>
      </c>
      <c r="AD299" s="70">
        <f t="shared" si="312"/>
        <v>20759.031999999999</v>
      </c>
      <c r="AE299" s="70">
        <f t="shared" si="293"/>
        <v>26107.648000000001</v>
      </c>
      <c r="AF299" s="70">
        <f t="shared" si="294"/>
        <v>23233.727999999999</v>
      </c>
      <c r="AG299" s="70">
        <f t="shared" si="295"/>
        <v>30009.984000000004</v>
      </c>
      <c r="AH299" s="70">
        <f t="shared" si="296"/>
        <v>31297.972000000002</v>
      </c>
      <c r="AI299" s="70">
        <f t="shared" si="297"/>
        <v>35349.888000000006</v>
      </c>
      <c r="AJ299" s="70">
        <f t="shared" si="298"/>
        <v>39635.839999999997</v>
      </c>
      <c r="AK299" s="70">
        <f t="shared" si="309"/>
        <v>39975.182000000001</v>
      </c>
      <c r="AL299" s="70">
        <f t="shared" si="310"/>
        <v>43605.468000000001</v>
      </c>
      <c r="AN299" s="111" t="s">
        <v>55</v>
      </c>
      <c r="AO299" s="113">
        <f t="shared" ref="AO299:AW299" si="333">H299/H297</f>
        <v>0.41832591542683806</v>
      </c>
      <c r="AP299" s="113">
        <f t="shared" si="333"/>
        <v>0.44544127330084421</v>
      </c>
      <c r="AQ299" s="113">
        <f t="shared" si="333"/>
        <v>0.43390020529542983</v>
      </c>
      <c r="AR299" s="113">
        <f t="shared" si="333"/>
        <v>0.45501043628625409</v>
      </c>
      <c r="AS299" s="113">
        <f t="shared" si="333"/>
        <v>0.45840113618202161</v>
      </c>
      <c r="AT299" s="113">
        <f t="shared" si="333"/>
        <v>0.46524097953449117</v>
      </c>
      <c r="AU299" s="113">
        <f t="shared" si="333"/>
        <v>0.47873849457611106</v>
      </c>
      <c r="AV299" s="113">
        <f t="shared" si="333"/>
        <v>0.46126710182543473</v>
      </c>
      <c r="AW299" s="113">
        <f t="shared" si="333"/>
        <v>0.46762867843837869</v>
      </c>
      <c r="AY299" s="111" t="s">
        <v>55</v>
      </c>
      <c r="AZ299" s="179">
        <f t="shared" si="300"/>
        <v>2.3426251263902929E-2</v>
      </c>
      <c r="BA299" s="179">
        <f t="shared" si="301"/>
        <v>2.8508241491254031E-2</v>
      </c>
      <c r="BB299" s="179">
        <f t="shared" si="302"/>
        <v>2.4298411496544069E-2</v>
      </c>
      <c r="BC299" s="179">
        <f t="shared" si="303"/>
        <v>2.9120667922320265E-2</v>
      </c>
      <c r="BD299" s="179">
        <f t="shared" si="304"/>
        <v>2.842087044328534E-2</v>
      </c>
      <c r="BE299" s="179">
        <f t="shared" si="305"/>
        <v>2.9775422690207436E-2</v>
      </c>
      <c r="BF299" s="179">
        <f t="shared" si="306"/>
        <v>3.0639263652871111E-2</v>
      </c>
      <c r="BG299" s="179">
        <f t="shared" si="307"/>
        <v>2.8598560313176952E-2</v>
      </c>
      <c r="BH299" s="179">
        <f t="shared" si="308"/>
        <v>2.8992978063179478E-2</v>
      </c>
    </row>
    <row r="300" spans="2:68" s="108" customFormat="1" x14ac:dyDescent="0.25">
      <c r="B300" s="107"/>
      <c r="E300" s="109" t="s">
        <v>45</v>
      </c>
      <c r="F300" s="110" t="s">
        <v>63</v>
      </c>
      <c r="G300" s="111" t="s">
        <v>130</v>
      </c>
      <c r="H300" s="70">
        <v>78633</v>
      </c>
      <c r="I300" s="70">
        <v>90681</v>
      </c>
      <c r="J300" s="70">
        <v>113702</v>
      </c>
      <c r="K300" s="70">
        <v>97752</v>
      </c>
      <c r="L300" s="70">
        <v>114005</v>
      </c>
      <c r="M300" s="70">
        <v>125158</v>
      </c>
      <c r="N300" s="70">
        <v>150231</v>
      </c>
      <c r="O300" s="112">
        <v>187999</v>
      </c>
      <c r="P300" s="112">
        <v>192562</v>
      </c>
      <c r="R300" s="111" t="s">
        <v>130</v>
      </c>
      <c r="S300" s="220">
        <v>8.6</v>
      </c>
      <c r="T300" s="220">
        <v>8.3000000000000007</v>
      </c>
      <c r="U300" s="220">
        <v>6.6</v>
      </c>
      <c r="V300" s="220">
        <v>8.1999999999999993</v>
      </c>
      <c r="W300" s="220">
        <v>8.5</v>
      </c>
      <c r="X300" s="220">
        <v>8.9</v>
      </c>
      <c r="Y300" s="220">
        <v>7.2</v>
      </c>
      <c r="Z300" s="220">
        <v>6.5</v>
      </c>
      <c r="AA300" s="220">
        <v>6.5</v>
      </c>
      <c r="AC300" s="111" t="s">
        <v>130</v>
      </c>
      <c r="AD300" s="70">
        <f t="shared" si="312"/>
        <v>13524.875999999998</v>
      </c>
      <c r="AE300" s="70">
        <f t="shared" si="293"/>
        <v>15053.046</v>
      </c>
      <c r="AF300" s="70">
        <f t="shared" si="294"/>
        <v>15008.663999999999</v>
      </c>
      <c r="AG300" s="70">
        <f t="shared" si="295"/>
        <v>16031.327999999998</v>
      </c>
      <c r="AH300" s="70">
        <f t="shared" si="296"/>
        <v>19380.849999999999</v>
      </c>
      <c r="AI300" s="70">
        <f t="shared" si="297"/>
        <v>22278.124</v>
      </c>
      <c r="AJ300" s="70">
        <f t="shared" si="298"/>
        <v>21633.263999999999</v>
      </c>
      <c r="AK300" s="70">
        <f t="shared" si="309"/>
        <v>24439.87</v>
      </c>
      <c r="AL300" s="70">
        <f t="shared" si="310"/>
        <v>25033.06</v>
      </c>
      <c r="AN300" s="111" t="s">
        <v>130</v>
      </c>
      <c r="AO300" s="113">
        <f t="shared" ref="AO300:AW300" si="334">H300/H297</f>
        <v>8.8736142207135632E-2</v>
      </c>
      <c r="AP300" s="113">
        <f t="shared" si="334"/>
        <v>9.9019101478172472E-2</v>
      </c>
      <c r="AQ300" s="113">
        <f t="shared" si="334"/>
        <v>0.1189123839265078</v>
      </c>
      <c r="AR300" s="113">
        <f t="shared" si="334"/>
        <v>9.4855216542023155E-2</v>
      </c>
      <c r="AS300" s="113">
        <f t="shared" si="334"/>
        <v>0.10352496113443851</v>
      </c>
      <c r="AT300" s="113">
        <f t="shared" si="334"/>
        <v>0.10542133409477795</v>
      </c>
      <c r="AU300" s="113">
        <f t="shared" si="334"/>
        <v>0.11613144108550442</v>
      </c>
      <c r="AV300" s="113">
        <f t="shared" si="334"/>
        <v>0.13449596653035761</v>
      </c>
      <c r="AW300" s="113">
        <f t="shared" si="334"/>
        <v>0.12803315955242051</v>
      </c>
      <c r="AY300" s="111" t="s">
        <v>130</v>
      </c>
      <c r="AZ300" s="179">
        <f t="shared" si="300"/>
        <v>1.5262616459627327E-2</v>
      </c>
      <c r="BA300" s="179">
        <f t="shared" si="301"/>
        <v>1.6437170845376631E-2</v>
      </c>
      <c r="BB300" s="179">
        <f t="shared" si="302"/>
        <v>1.569643467829903E-2</v>
      </c>
      <c r="BC300" s="179">
        <f t="shared" si="303"/>
        <v>1.5556255512891796E-2</v>
      </c>
      <c r="BD300" s="179">
        <f t="shared" si="304"/>
        <v>1.7599243392854548E-2</v>
      </c>
      <c r="BE300" s="179">
        <f t="shared" si="305"/>
        <v>1.8764997468870476E-2</v>
      </c>
      <c r="BF300" s="179">
        <f t="shared" si="306"/>
        <v>1.6722927516312637E-2</v>
      </c>
      <c r="BG300" s="179">
        <f t="shared" si="307"/>
        <v>1.748447564894649E-2</v>
      </c>
      <c r="BH300" s="179">
        <f t="shared" si="308"/>
        <v>1.6644310741814664E-2</v>
      </c>
    </row>
    <row r="301" spans="2:68" s="108" customFormat="1" x14ac:dyDescent="0.25">
      <c r="B301" s="107"/>
      <c r="E301" s="109" t="s">
        <v>45</v>
      </c>
      <c r="F301" s="110" t="s">
        <v>63</v>
      </c>
      <c r="G301" s="111" t="s">
        <v>131</v>
      </c>
      <c r="H301" s="112">
        <v>311180</v>
      </c>
      <c r="I301" s="112">
        <v>299961</v>
      </c>
      <c r="J301" s="112">
        <v>305762</v>
      </c>
      <c r="K301" s="112">
        <v>334912</v>
      </c>
      <c r="L301" s="112">
        <v>357852</v>
      </c>
      <c r="M301" s="112">
        <v>392906</v>
      </c>
      <c r="N301" s="112">
        <v>388718</v>
      </c>
      <c r="O301" s="112">
        <v>416835</v>
      </c>
      <c r="P301" s="112">
        <v>438720</v>
      </c>
      <c r="R301" s="111" t="s">
        <v>131</v>
      </c>
      <c r="S301" s="220">
        <v>4.3</v>
      </c>
      <c r="T301" s="220">
        <v>4.4000000000000004</v>
      </c>
      <c r="U301" s="220">
        <v>3.3</v>
      </c>
      <c r="V301" s="220">
        <v>4</v>
      </c>
      <c r="W301" s="220">
        <v>4</v>
      </c>
      <c r="X301" s="220">
        <v>4.5</v>
      </c>
      <c r="Y301" s="220">
        <v>3.9</v>
      </c>
      <c r="Z301" s="220">
        <v>3.6</v>
      </c>
      <c r="AA301" s="220">
        <v>3.7</v>
      </c>
      <c r="AC301" s="111" t="s">
        <v>131</v>
      </c>
      <c r="AD301" s="112">
        <f t="shared" si="312"/>
        <v>26761.48</v>
      </c>
      <c r="AE301" s="112">
        <f t="shared" si="293"/>
        <v>26396.568000000003</v>
      </c>
      <c r="AF301" s="112">
        <f t="shared" si="294"/>
        <v>20180.292000000001</v>
      </c>
      <c r="AG301" s="112">
        <f t="shared" si="295"/>
        <v>26792.959999999999</v>
      </c>
      <c r="AH301" s="112">
        <f t="shared" si="296"/>
        <v>28628.16</v>
      </c>
      <c r="AI301" s="112">
        <f t="shared" si="297"/>
        <v>35361.54</v>
      </c>
      <c r="AJ301" s="112">
        <f t="shared" si="298"/>
        <v>30320.004000000001</v>
      </c>
      <c r="AK301" s="112">
        <f t="shared" si="309"/>
        <v>30012.12</v>
      </c>
      <c r="AL301" s="112">
        <f t="shared" si="310"/>
        <v>32465.279999999999</v>
      </c>
      <c r="AN301" s="111" t="s">
        <v>131</v>
      </c>
      <c r="AO301" s="113">
        <f t="shared" ref="AO301:AW301" si="335">H301/H297</f>
        <v>0.35116188790986569</v>
      </c>
      <c r="AP301" s="113">
        <f t="shared" si="335"/>
        <v>0.32754235946332849</v>
      </c>
      <c r="AQ301" s="113">
        <f t="shared" si="335"/>
        <v>0.31977351615747196</v>
      </c>
      <c r="AR301" s="113">
        <f t="shared" si="335"/>
        <v>0.32498721542804299</v>
      </c>
      <c r="AS301" s="113">
        <f t="shared" si="335"/>
        <v>0.32495604922486815</v>
      </c>
      <c r="AT301" s="113">
        <f t="shared" si="335"/>
        <v>0.33094708044106513</v>
      </c>
      <c r="AU301" s="113">
        <f t="shared" si="335"/>
        <v>0.30048646095596188</v>
      </c>
      <c r="AV301" s="113">
        <f t="shared" si="335"/>
        <v>0.29820704476450205</v>
      </c>
      <c r="AW301" s="113">
        <f t="shared" si="335"/>
        <v>0.29170193370882069</v>
      </c>
      <c r="AY301" s="111" t="s">
        <v>131</v>
      </c>
      <c r="AZ301" s="179">
        <f t="shared" si="300"/>
        <v>3.0199922360248446E-2</v>
      </c>
      <c r="BA301" s="179">
        <f t="shared" si="301"/>
        <v>2.8823727632772907E-2</v>
      </c>
      <c r="BB301" s="179">
        <f t="shared" si="302"/>
        <v>2.1105052066393147E-2</v>
      </c>
      <c r="BC301" s="179">
        <f t="shared" si="303"/>
        <v>2.599897723424344E-2</v>
      </c>
      <c r="BD301" s="179">
        <f t="shared" si="304"/>
        <v>2.5996483937989451E-2</v>
      </c>
      <c r="BE301" s="179">
        <f t="shared" si="305"/>
        <v>2.978523723969586E-2</v>
      </c>
      <c r="BF301" s="179">
        <f t="shared" si="306"/>
        <v>2.3437943954565027E-2</v>
      </c>
      <c r="BG301" s="179">
        <f t="shared" si="307"/>
        <v>2.147090722304415E-2</v>
      </c>
      <c r="BH301" s="179">
        <f t="shared" si="308"/>
        <v>2.1585943094452734E-2</v>
      </c>
    </row>
    <row r="302" spans="2:68" s="87" customFormat="1" x14ac:dyDescent="0.25">
      <c r="B302" s="84"/>
      <c r="C302" s="85"/>
      <c r="D302" s="85"/>
      <c r="E302" s="109" t="s">
        <v>46</v>
      </c>
      <c r="F302" s="110" t="s">
        <v>63</v>
      </c>
      <c r="G302" s="195" t="s">
        <v>7</v>
      </c>
      <c r="H302" s="69">
        <v>6216724</v>
      </c>
      <c r="I302" s="69">
        <v>6347862</v>
      </c>
      <c r="J302" s="69">
        <v>6467616</v>
      </c>
      <c r="K302" s="69">
        <v>6598140</v>
      </c>
      <c r="L302" s="69">
        <v>6712853</v>
      </c>
      <c r="M302" s="69">
        <v>6828260</v>
      </c>
      <c r="N302" s="69">
        <v>6964711</v>
      </c>
      <c r="O302" s="69">
        <v>7057532</v>
      </c>
      <c r="P302" s="69">
        <v>7158334</v>
      </c>
      <c r="R302" s="195" t="s">
        <v>7</v>
      </c>
      <c r="S302" s="226">
        <v>0.3</v>
      </c>
      <c r="T302" s="226">
        <v>0.4</v>
      </c>
      <c r="U302" s="226">
        <v>0.3</v>
      </c>
      <c r="V302" s="226">
        <v>0.4</v>
      </c>
      <c r="W302" s="226">
        <v>0.4</v>
      </c>
      <c r="X302" s="226">
        <v>0.4</v>
      </c>
      <c r="Y302" s="226">
        <v>0.4</v>
      </c>
      <c r="Z302" s="226">
        <v>0.4</v>
      </c>
      <c r="AA302" s="226">
        <v>0.3</v>
      </c>
      <c r="AC302" s="195" t="s">
        <v>7</v>
      </c>
      <c r="AD302" s="69">
        <f t="shared" si="312"/>
        <v>37300.343999999997</v>
      </c>
      <c r="AE302" s="69">
        <f t="shared" si="293"/>
        <v>50782.896000000008</v>
      </c>
      <c r="AF302" s="69">
        <f t="shared" si="294"/>
        <v>38805.695999999996</v>
      </c>
      <c r="AG302" s="69">
        <f t="shared" si="295"/>
        <v>52785.120000000003</v>
      </c>
      <c r="AH302" s="69">
        <f t="shared" si="296"/>
        <v>53702.824000000001</v>
      </c>
      <c r="AI302" s="69">
        <f t="shared" si="297"/>
        <v>54626.080000000002</v>
      </c>
      <c r="AJ302" s="69">
        <f t="shared" si="298"/>
        <v>55717.688000000009</v>
      </c>
      <c r="AK302" s="69">
        <f t="shared" si="309"/>
        <v>56460.256000000008</v>
      </c>
      <c r="AL302" s="69">
        <f t="shared" si="310"/>
        <v>42950.003999999994</v>
      </c>
      <c r="AN302" s="195" t="s">
        <v>7</v>
      </c>
      <c r="AO302" s="98">
        <f t="shared" ref="AO302:AW302" si="336">H302/H302</f>
        <v>1</v>
      </c>
      <c r="AP302" s="98">
        <f t="shared" si="336"/>
        <v>1</v>
      </c>
      <c r="AQ302" s="98">
        <f t="shared" si="336"/>
        <v>1</v>
      </c>
      <c r="AR302" s="98">
        <f t="shared" si="336"/>
        <v>1</v>
      </c>
      <c r="AS302" s="98">
        <f t="shared" si="336"/>
        <v>1</v>
      </c>
      <c r="AT302" s="98">
        <f t="shared" si="336"/>
        <v>1</v>
      </c>
      <c r="AU302" s="98">
        <f t="shared" si="336"/>
        <v>1</v>
      </c>
      <c r="AV302" s="98">
        <f t="shared" si="336"/>
        <v>1</v>
      </c>
      <c r="AW302" s="98">
        <f t="shared" si="336"/>
        <v>1</v>
      </c>
      <c r="AX302" s="191"/>
      <c r="AY302" s="195" t="s">
        <v>7</v>
      </c>
      <c r="AZ302" s="178">
        <f t="shared" si="300"/>
        <v>6.0000000000000001E-3</v>
      </c>
      <c r="BA302" s="178">
        <f t="shared" si="301"/>
        <v>8.0000000000000002E-3</v>
      </c>
      <c r="BB302" s="178">
        <f t="shared" si="302"/>
        <v>6.0000000000000001E-3</v>
      </c>
      <c r="BC302" s="178">
        <f t="shared" si="303"/>
        <v>8.0000000000000002E-3</v>
      </c>
      <c r="BD302" s="178">
        <f t="shared" si="304"/>
        <v>8.0000000000000002E-3</v>
      </c>
      <c r="BE302" s="178">
        <f t="shared" si="305"/>
        <v>8.0000000000000002E-3</v>
      </c>
      <c r="BF302" s="178">
        <f t="shared" si="306"/>
        <v>8.0000000000000002E-3</v>
      </c>
      <c r="BG302" s="178">
        <f t="shared" si="307"/>
        <v>8.0000000000000002E-3</v>
      </c>
      <c r="BH302" s="178">
        <f t="shared" si="308"/>
        <v>6.0000000000000001E-3</v>
      </c>
      <c r="BI302" s="191"/>
      <c r="BJ302" s="191"/>
      <c r="BK302" s="191"/>
      <c r="BL302" s="191"/>
      <c r="BM302" s="191"/>
      <c r="BN302" s="191"/>
      <c r="BO302" s="191"/>
      <c r="BP302" s="191"/>
    </row>
    <row r="303" spans="2:68" s="108" customFormat="1" x14ac:dyDescent="0.25">
      <c r="B303" s="107"/>
      <c r="E303" s="109" t="s">
        <v>46</v>
      </c>
      <c r="F303" s="110" t="s">
        <v>63</v>
      </c>
      <c r="G303" s="111" t="s">
        <v>54</v>
      </c>
      <c r="H303" s="112">
        <v>1830865</v>
      </c>
      <c r="I303" s="112">
        <v>1639343</v>
      </c>
      <c r="J303" s="112">
        <v>1576386</v>
      </c>
      <c r="K303" s="112">
        <v>1594257</v>
      </c>
      <c r="L303" s="112">
        <v>1532089</v>
      </c>
      <c r="M303" s="112">
        <v>1523724</v>
      </c>
      <c r="N303" s="112">
        <v>1422056</v>
      </c>
      <c r="O303" s="112">
        <v>1295663</v>
      </c>
      <c r="P303" s="112">
        <v>1279607</v>
      </c>
      <c r="R303" s="111" t="s">
        <v>54</v>
      </c>
      <c r="S303" s="220">
        <v>1.7</v>
      </c>
      <c r="T303" s="220">
        <v>1.8</v>
      </c>
      <c r="U303" s="220">
        <v>1.8</v>
      </c>
      <c r="V303" s="220">
        <v>1.5</v>
      </c>
      <c r="W303" s="220">
        <v>1.7</v>
      </c>
      <c r="X303" s="220">
        <v>2.1</v>
      </c>
      <c r="Y303" s="220">
        <v>2.1</v>
      </c>
      <c r="Z303" s="220">
        <v>2.6</v>
      </c>
      <c r="AA303" s="220">
        <v>2.5</v>
      </c>
      <c r="AC303" s="111" t="s">
        <v>54</v>
      </c>
      <c r="AD303" s="112">
        <f t="shared" si="312"/>
        <v>62249.41</v>
      </c>
      <c r="AE303" s="112">
        <f t="shared" si="293"/>
        <v>59016.347999999998</v>
      </c>
      <c r="AF303" s="112">
        <f t="shared" si="294"/>
        <v>56749.896000000008</v>
      </c>
      <c r="AG303" s="112">
        <f t="shared" si="295"/>
        <v>47827.71</v>
      </c>
      <c r="AH303" s="112">
        <f t="shared" si="296"/>
        <v>52091.025999999998</v>
      </c>
      <c r="AI303" s="112">
        <f t="shared" si="297"/>
        <v>63996.407999999996</v>
      </c>
      <c r="AJ303" s="112">
        <f t="shared" si="298"/>
        <v>59726.351999999999</v>
      </c>
      <c r="AK303" s="112">
        <f t="shared" si="309"/>
        <v>67374.47600000001</v>
      </c>
      <c r="AL303" s="112">
        <f t="shared" si="310"/>
        <v>63980.35</v>
      </c>
      <c r="AN303" s="111" t="s">
        <v>54</v>
      </c>
      <c r="AO303" s="113">
        <f t="shared" ref="AO303:AW303" si="337">H303/H302</f>
        <v>0.29450639919031307</v>
      </c>
      <c r="AP303" s="113">
        <f t="shared" si="337"/>
        <v>0.25825120331853463</v>
      </c>
      <c r="AQ303" s="113">
        <f t="shared" si="337"/>
        <v>0.24373524958810169</v>
      </c>
      <c r="AR303" s="113">
        <f t="shared" si="337"/>
        <v>0.24162218443379499</v>
      </c>
      <c r="AS303" s="113">
        <f t="shared" si="337"/>
        <v>0.22823216894515641</v>
      </c>
      <c r="AT303" s="113">
        <f t="shared" si="337"/>
        <v>0.22314967502702007</v>
      </c>
      <c r="AU303" s="113">
        <f t="shared" si="337"/>
        <v>0.20418018780678768</v>
      </c>
      <c r="AV303" s="113">
        <f t="shared" si="337"/>
        <v>0.18358584842406667</v>
      </c>
      <c r="AW303" s="113">
        <f t="shared" si="337"/>
        <v>0.17875765506331501</v>
      </c>
      <c r="AY303" s="111" t="s">
        <v>54</v>
      </c>
      <c r="AZ303" s="179">
        <f t="shared" si="300"/>
        <v>1.0013217572470645E-2</v>
      </c>
      <c r="BA303" s="179">
        <f t="shared" si="301"/>
        <v>9.2970433194672457E-3</v>
      </c>
      <c r="BB303" s="179">
        <f t="shared" si="302"/>
        <v>8.7744689851716601E-3</v>
      </c>
      <c r="BC303" s="179">
        <f t="shared" si="303"/>
        <v>7.2486655330138497E-3</v>
      </c>
      <c r="BD303" s="179">
        <f t="shared" si="304"/>
        <v>7.7598937441353179E-3</v>
      </c>
      <c r="BE303" s="179">
        <f t="shared" si="305"/>
        <v>9.3722863511348439E-3</v>
      </c>
      <c r="BF303" s="179">
        <f t="shared" si="306"/>
        <v>8.5755678878850824E-3</v>
      </c>
      <c r="BG303" s="179">
        <f t="shared" si="307"/>
        <v>9.5464641180514672E-3</v>
      </c>
      <c r="BH303" s="179">
        <f t="shared" si="308"/>
        <v>8.9378827531657497E-3</v>
      </c>
    </row>
    <row r="304" spans="2:68" s="108" customFormat="1" x14ac:dyDescent="0.25">
      <c r="B304" s="107"/>
      <c r="E304" s="109" t="s">
        <v>46</v>
      </c>
      <c r="F304" s="110" t="s">
        <v>63</v>
      </c>
      <c r="G304" s="111" t="s">
        <v>55</v>
      </c>
      <c r="H304" s="70">
        <v>1641896</v>
      </c>
      <c r="I304" s="70">
        <v>1871116</v>
      </c>
      <c r="J304" s="70">
        <v>1776598</v>
      </c>
      <c r="K304" s="70">
        <v>1863889</v>
      </c>
      <c r="L304" s="70">
        <v>1936077</v>
      </c>
      <c r="M304" s="70">
        <v>1925670</v>
      </c>
      <c r="N304" s="70">
        <v>1940170</v>
      </c>
      <c r="O304" s="112">
        <v>2016458</v>
      </c>
      <c r="P304" s="112">
        <v>2036406</v>
      </c>
      <c r="R304" s="111" t="s">
        <v>55</v>
      </c>
      <c r="S304" s="81">
        <v>1.7</v>
      </c>
      <c r="T304" s="81">
        <v>1.8</v>
      </c>
      <c r="U304" s="81">
        <v>1.8</v>
      </c>
      <c r="V304" s="81">
        <v>1.8</v>
      </c>
      <c r="W304" s="81">
        <v>1.7</v>
      </c>
      <c r="X304" s="81">
        <v>2.1</v>
      </c>
      <c r="Y304" s="81">
        <v>1.8</v>
      </c>
      <c r="Z304" s="81">
        <v>1.7</v>
      </c>
      <c r="AA304" s="81">
        <v>1.2</v>
      </c>
      <c r="AC304" s="111" t="s">
        <v>55</v>
      </c>
      <c r="AD304" s="70">
        <f t="shared" si="312"/>
        <v>55824.463999999993</v>
      </c>
      <c r="AE304" s="70">
        <f t="shared" si="293"/>
        <v>67360.176000000007</v>
      </c>
      <c r="AF304" s="70">
        <f t="shared" si="294"/>
        <v>63957.527999999998</v>
      </c>
      <c r="AG304" s="70">
        <f t="shared" si="295"/>
        <v>67100.004000000001</v>
      </c>
      <c r="AH304" s="70">
        <f t="shared" si="296"/>
        <v>65826.618000000002</v>
      </c>
      <c r="AI304" s="70">
        <f t="shared" si="297"/>
        <v>80878.14</v>
      </c>
      <c r="AJ304" s="70">
        <f t="shared" si="298"/>
        <v>69846.12</v>
      </c>
      <c r="AK304" s="70">
        <f t="shared" si="309"/>
        <v>68559.572</v>
      </c>
      <c r="AL304" s="70">
        <f t="shared" si="310"/>
        <v>48873.743999999992</v>
      </c>
      <c r="AN304" s="111" t="s">
        <v>55</v>
      </c>
      <c r="AO304" s="113">
        <f t="shared" ref="AO304:AW304" si="338">H304/H302</f>
        <v>0.26410952134918647</v>
      </c>
      <c r="AP304" s="113">
        <f t="shared" si="338"/>
        <v>0.2947631816822735</v>
      </c>
      <c r="AQ304" s="113">
        <f t="shared" si="338"/>
        <v>0.27469132366547427</v>
      </c>
      <c r="AR304" s="113">
        <f t="shared" si="338"/>
        <v>0.28248703422479671</v>
      </c>
      <c r="AS304" s="113">
        <f t="shared" si="338"/>
        <v>0.28841343613512765</v>
      </c>
      <c r="AT304" s="113">
        <f t="shared" si="338"/>
        <v>0.28201474460550713</v>
      </c>
      <c r="AU304" s="113">
        <f t="shared" si="338"/>
        <v>0.27857150138749476</v>
      </c>
      <c r="AV304" s="113">
        <f t="shared" si="338"/>
        <v>0.28571716004971709</v>
      </c>
      <c r="AW304" s="113">
        <f t="shared" si="338"/>
        <v>0.2844804391636378</v>
      </c>
      <c r="AY304" s="111" t="s">
        <v>55</v>
      </c>
      <c r="AZ304" s="179">
        <f t="shared" si="300"/>
        <v>8.9797237258723399E-3</v>
      </c>
      <c r="BA304" s="179">
        <f t="shared" si="301"/>
        <v>1.0611474540561848E-2</v>
      </c>
      <c r="BB304" s="179">
        <f t="shared" si="302"/>
        <v>9.8888876519570741E-3</v>
      </c>
      <c r="BC304" s="179">
        <f t="shared" si="303"/>
        <v>1.0169533232092682E-2</v>
      </c>
      <c r="BD304" s="179">
        <f t="shared" si="304"/>
        <v>9.8060568285943395E-3</v>
      </c>
      <c r="BE304" s="179">
        <f t="shared" si="305"/>
        <v>1.1844619273431301E-2</v>
      </c>
      <c r="BF304" s="179">
        <f t="shared" si="306"/>
        <v>1.0028574049949812E-2</v>
      </c>
      <c r="BG304" s="179">
        <f t="shared" si="307"/>
        <v>9.7143834416903805E-3</v>
      </c>
      <c r="BH304" s="179">
        <f t="shared" si="308"/>
        <v>6.8275305399273069E-3</v>
      </c>
    </row>
    <row r="305" spans="2:68" s="108" customFormat="1" x14ac:dyDescent="0.25">
      <c r="B305" s="107"/>
      <c r="E305" s="109" t="s">
        <v>46</v>
      </c>
      <c r="F305" s="110" t="s">
        <v>63</v>
      </c>
      <c r="G305" s="111" t="s">
        <v>130</v>
      </c>
      <c r="H305" s="70">
        <v>696151</v>
      </c>
      <c r="I305" s="70">
        <v>820135</v>
      </c>
      <c r="J305" s="70">
        <v>895774</v>
      </c>
      <c r="K305" s="70">
        <v>771659</v>
      </c>
      <c r="L305" s="70">
        <v>774908</v>
      </c>
      <c r="M305" s="70">
        <v>850394</v>
      </c>
      <c r="N305" s="70">
        <v>912933</v>
      </c>
      <c r="O305" s="112">
        <v>1010766</v>
      </c>
      <c r="P305" s="112">
        <v>963323</v>
      </c>
      <c r="R305" s="111" t="s">
        <v>130</v>
      </c>
      <c r="S305" s="220">
        <v>3.3</v>
      </c>
      <c r="T305" s="220">
        <v>2.8</v>
      </c>
      <c r="U305" s="220">
        <v>2.7</v>
      </c>
      <c r="V305" s="220">
        <v>2.8</v>
      </c>
      <c r="W305" s="220">
        <v>3</v>
      </c>
      <c r="X305" s="220">
        <v>3.1</v>
      </c>
      <c r="Y305" s="220">
        <v>2.8</v>
      </c>
      <c r="Z305" s="220">
        <v>2.6</v>
      </c>
      <c r="AA305" s="220">
        <v>2.9</v>
      </c>
      <c r="AC305" s="111" t="s">
        <v>130</v>
      </c>
      <c r="AD305" s="70">
        <f t="shared" si="312"/>
        <v>45945.965999999993</v>
      </c>
      <c r="AE305" s="70">
        <f t="shared" si="293"/>
        <v>45927.56</v>
      </c>
      <c r="AF305" s="70">
        <f t="shared" si="294"/>
        <v>48371.796000000002</v>
      </c>
      <c r="AG305" s="70">
        <f t="shared" si="295"/>
        <v>43212.903999999995</v>
      </c>
      <c r="AH305" s="70">
        <f t="shared" si="296"/>
        <v>46494.48</v>
      </c>
      <c r="AI305" s="70">
        <f t="shared" si="297"/>
        <v>52724.428</v>
      </c>
      <c r="AJ305" s="70">
        <f t="shared" si="298"/>
        <v>51124.248</v>
      </c>
      <c r="AK305" s="70">
        <f t="shared" si="309"/>
        <v>52559.832000000002</v>
      </c>
      <c r="AL305" s="70">
        <f t="shared" si="310"/>
        <v>55872.733999999997</v>
      </c>
      <c r="AN305" s="111" t="s">
        <v>130</v>
      </c>
      <c r="AO305" s="113">
        <f t="shared" ref="AO305:AW305" si="339">H305/H302</f>
        <v>0.11198036136074241</v>
      </c>
      <c r="AP305" s="113">
        <f t="shared" si="339"/>
        <v>0.12919861836946045</v>
      </c>
      <c r="AQ305" s="113">
        <f t="shared" si="339"/>
        <v>0.13850141999772406</v>
      </c>
      <c r="AR305" s="113">
        <f t="shared" si="339"/>
        <v>0.11695098921817361</v>
      </c>
      <c r="AS305" s="113">
        <f t="shared" si="339"/>
        <v>0.11543646196334108</v>
      </c>
      <c r="AT305" s="113">
        <f t="shared" si="339"/>
        <v>0.1245403660669043</v>
      </c>
      <c r="AU305" s="113">
        <f t="shared" si="339"/>
        <v>0.13107981077750391</v>
      </c>
      <c r="AV305" s="113">
        <f t="shared" si="339"/>
        <v>0.14321805412997066</v>
      </c>
      <c r="AW305" s="113">
        <f t="shared" si="339"/>
        <v>0.13457363123877708</v>
      </c>
      <c r="AY305" s="111" t="s">
        <v>130</v>
      </c>
      <c r="AZ305" s="179">
        <f t="shared" si="300"/>
        <v>7.3907038498089985E-3</v>
      </c>
      <c r="BA305" s="179">
        <f t="shared" si="301"/>
        <v>7.2351226286897852E-3</v>
      </c>
      <c r="BB305" s="179">
        <f t="shared" si="302"/>
        <v>7.4790766798770994E-3</v>
      </c>
      <c r="BC305" s="179">
        <f t="shared" si="303"/>
        <v>6.5492553962177213E-3</v>
      </c>
      <c r="BD305" s="179">
        <f t="shared" si="304"/>
        <v>6.9261877178004652E-3</v>
      </c>
      <c r="BE305" s="179">
        <f t="shared" si="305"/>
        <v>7.721502696148067E-3</v>
      </c>
      <c r="BF305" s="179">
        <f t="shared" si="306"/>
        <v>7.3404694035402182E-3</v>
      </c>
      <c r="BG305" s="179">
        <f t="shared" si="307"/>
        <v>7.4473388147584738E-3</v>
      </c>
      <c r="BH305" s="179">
        <f t="shared" si="308"/>
        <v>7.8052706118490701E-3</v>
      </c>
    </row>
    <row r="306" spans="2:68" s="108" customFormat="1" x14ac:dyDescent="0.25">
      <c r="B306" s="107"/>
      <c r="E306" s="109" t="s">
        <v>46</v>
      </c>
      <c r="F306" s="110" t="s">
        <v>63</v>
      </c>
      <c r="G306" s="111" t="s">
        <v>131</v>
      </c>
      <c r="H306" s="112">
        <v>2037477</v>
      </c>
      <c r="I306" s="112">
        <v>1984803</v>
      </c>
      <c r="J306" s="112">
        <v>2207629</v>
      </c>
      <c r="K306" s="112">
        <v>2347926</v>
      </c>
      <c r="L306" s="112">
        <v>2442434</v>
      </c>
      <c r="M306" s="112">
        <v>2497745</v>
      </c>
      <c r="N306" s="112">
        <v>2661127</v>
      </c>
      <c r="O306" s="112">
        <v>2734645</v>
      </c>
      <c r="P306" s="112">
        <v>2878998</v>
      </c>
      <c r="R306" s="111" t="s">
        <v>131</v>
      </c>
      <c r="S306" s="220">
        <v>1.4</v>
      </c>
      <c r="T306" s="220">
        <v>1.8</v>
      </c>
      <c r="U306" s="220">
        <v>1.5</v>
      </c>
      <c r="V306" s="220">
        <v>1.5</v>
      </c>
      <c r="W306" s="220">
        <v>1.7</v>
      </c>
      <c r="X306" s="220">
        <v>1.7</v>
      </c>
      <c r="Y306" s="220">
        <v>1.3</v>
      </c>
      <c r="Z306" s="220">
        <v>1.7</v>
      </c>
      <c r="AA306" s="220">
        <v>1.2</v>
      </c>
      <c r="AC306" s="111" t="s">
        <v>131</v>
      </c>
      <c r="AD306" s="112">
        <f t="shared" si="312"/>
        <v>57049.356</v>
      </c>
      <c r="AE306" s="112">
        <f t="shared" si="293"/>
        <v>71452.907999999996</v>
      </c>
      <c r="AF306" s="112">
        <f t="shared" si="294"/>
        <v>66228.87</v>
      </c>
      <c r="AG306" s="112">
        <f t="shared" si="295"/>
        <v>70437.78</v>
      </c>
      <c r="AH306" s="112">
        <f t="shared" si="296"/>
        <v>83042.755999999994</v>
      </c>
      <c r="AI306" s="112">
        <f t="shared" si="297"/>
        <v>84923.33</v>
      </c>
      <c r="AJ306" s="112">
        <f t="shared" si="298"/>
        <v>69189.301999999996</v>
      </c>
      <c r="AK306" s="112">
        <f t="shared" si="309"/>
        <v>92977.93</v>
      </c>
      <c r="AL306" s="112">
        <f t="shared" si="310"/>
        <v>69095.952000000005</v>
      </c>
      <c r="AN306" s="111" t="s">
        <v>131</v>
      </c>
      <c r="AO306" s="113">
        <f t="shared" ref="AO306:AW306" si="340">H306/H302</f>
        <v>0.32774126694381156</v>
      </c>
      <c r="AP306" s="113">
        <f t="shared" si="340"/>
        <v>0.31267267624910561</v>
      </c>
      <c r="AQ306" s="113">
        <f t="shared" si="340"/>
        <v>0.34133581832935039</v>
      </c>
      <c r="AR306" s="113">
        <f t="shared" si="340"/>
        <v>0.35584664769162216</v>
      </c>
      <c r="AS306" s="113">
        <f t="shared" si="340"/>
        <v>0.36384440416019836</v>
      </c>
      <c r="AT306" s="113">
        <f t="shared" si="340"/>
        <v>0.36579523919710144</v>
      </c>
      <c r="AU306" s="113">
        <f t="shared" si="340"/>
        <v>0.38208721079740421</v>
      </c>
      <c r="AV306" s="113">
        <f t="shared" si="340"/>
        <v>0.38747893739624562</v>
      </c>
      <c r="AW306" s="113">
        <f t="shared" si="340"/>
        <v>0.40218827453427014</v>
      </c>
      <c r="AY306" s="111" t="s">
        <v>131</v>
      </c>
      <c r="AZ306" s="179">
        <f t="shared" si="300"/>
        <v>9.1767554744267236E-3</v>
      </c>
      <c r="BA306" s="179">
        <f t="shared" si="301"/>
        <v>1.1256216344967802E-2</v>
      </c>
      <c r="BB306" s="179">
        <f t="shared" si="302"/>
        <v>1.0240074549880511E-2</v>
      </c>
      <c r="BC306" s="179">
        <f t="shared" si="303"/>
        <v>1.0675399430748665E-2</v>
      </c>
      <c r="BD306" s="179">
        <f t="shared" si="304"/>
        <v>1.2370709741446743E-2</v>
      </c>
      <c r="BE306" s="179">
        <f t="shared" si="305"/>
        <v>1.2437038132701448E-2</v>
      </c>
      <c r="BF306" s="179">
        <f t="shared" si="306"/>
        <v>9.9342674807325095E-3</v>
      </c>
      <c r="BG306" s="179">
        <f t="shared" si="307"/>
        <v>1.3174283871472349E-2</v>
      </c>
      <c r="BH306" s="179">
        <f t="shared" si="308"/>
        <v>9.6525185888224826E-3</v>
      </c>
    </row>
    <row r="307" spans="2:68" s="87" customFormat="1" x14ac:dyDescent="0.25">
      <c r="B307" s="84"/>
      <c r="C307" s="85"/>
      <c r="D307" s="85"/>
      <c r="E307" s="109" t="s">
        <v>4</v>
      </c>
      <c r="F307" s="110" t="s">
        <v>63</v>
      </c>
      <c r="G307" s="195" t="s">
        <v>7</v>
      </c>
      <c r="H307" s="69">
        <v>3056062</v>
      </c>
      <c r="I307" s="69">
        <v>3123143</v>
      </c>
      <c r="J307" s="69">
        <v>3183843</v>
      </c>
      <c r="K307" s="69">
        <v>3249469</v>
      </c>
      <c r="L307" s="69">
        <v>3312699</v>
      </c>
      <c r="M307" s="69">
        <v>3378989</v>
      </c>
      <c r="N307" s="69">
        <v>3449411</v>
      </c>
      <c r="O307" s="69">
        <v>3492425</v>
      </c>
      <c r="P307" s="69">
        <v>3547445</v>
      </c>
      <c r="R307" s="195" t="s">
        <v>7</v>
      </c>
      <c r="S307" s="226">
        <v>1</v>
      </c>
      <c r="T307" s="226">
        <v>0.5</v>
      </c>
      <c r="U307" s="226">
        <v>0.4</v>
      </c>
      <c r="V307" s="226">
        <v>0.5</v>
      </c>
      <c r="W307" s="226">
        <v>0.5</v>
      </c>
      <c r="X307" s="226">
        <v>0.5</v>
      </c>
      <c r="Y307" s="226">
        <v>0.5</v>
      </c>
      <c r="Z307" s="226">
        <v>0.5</v>
      </c>
      <c r="AA307" s="226">
        <v>0.5</v>
      </c>
      <c r="AC307" s="195" t="s">
        <v>7</v>
      </c>
      <c r="AD307" s="69">
        <f t="shared" si="312"/>
        <v>61121.24</v>
      </c>
      <c r="AE307" s="69">
        <f t="shared" si="293"/>
        <v>31231.43</v>
      </c>
      <c r="AF307" s="69">
        <f t="shared" si="294"/>
        <v>25470.744000000002</v>
      </c>
      <c r="AG307" s="69">
        <f t="shared" si="295"/>
        <v>32494.69</v>
      </c>
      <c r="AH307" s="69">
        <f t="shared" si="296"/>
        <v>33126.99</v>
      </c>
      <c r="AI307" s="69">
        <f t="shared" si="297"/>
        <v>33789.89</v>
      </c>
      <c r="AJ307" s="69">
        <f t="shared" si="298"/>
        <v>34494.11</v>
      </c>
      <c r="AK307" s="69">
        <f t="shared" si="309"/>
        <v>34924.25</v>
      </c>
      <c r="AL307" s="69">
        <f t="shared" si="310"/>
        <v>35474.449999999997</v>
      </c>
      <c r="AN307" s="195" t="s">
        <v>7</v>
      </c>
      <c r="AO307" s="98">
        <f t="shared" ref="AO307:AW307" si="341">H307/H307</f>
        <v>1</v>
      </c>
      <c r="AP307" s="98">
        <f t="shared" si="341"/>
        <v>1</v>
      </c>
      <c r="AQ307" s="98">
        <f t="shared" si="341"/>
        <v>1</v>
      </c>
      <c r="AR307" s="98">
        <f t="shared" si="341"/>
        <v>1</v>
      </c>
      <c r="AS307" s="98">
        <f t="shared" si="341"/>
        <v>1</v>
      </c>
      <c r="AT307" s="98">
        <f t="shared" si="341"/>
        <v>1</v>
      </c>
      <c r="AU307" s="98">
        <f t="shared" si="341"/>
        <v>1</v>
      </c>
      <c r="AV307" s="98">
        <f t="shared" si="341"/>
        <v>1</v>
      </c>
      <c r="AW307" s="98">
        <f t="shared" si="341"/>
        <v>1</v>
      </c>
      <c r="AX307" s="191"/>
      <c r="AY307" s="195" t="s">
        <v>7</v>
      </c>
      <c r="AZ307" s="178">
        <f t="shared" si="300"/>
        <v>0.02</v>
      </c>
      <c r="BA307" s="178">
        <f t="shared" si="301"/>
        <v>0.01</v>
      </c>
      <c r="BB307" s="178">
        <f t="shared" si="302"/>
        <v>8.0000000000000002E-3</v>
      </c>
      <c r="BC307" s="178">
        <f t="shared" si="303"/>
        <v>0.01</v>
      </c>
      <c r="BD307" s="178">
        <f t="shared" si="304"/>
        <v>0.01</v>
      </c>
      <c r="BE307" s="178">
        <f t="shared" si="305"/>
        <v>0.01</v>
      </c>
      <c r="BF307" s="178">
        <f t="shared" si="306"/>
        <v>0.01</v>
      </c>
      <c r="BG307" s="178">
        <f t="shared" si="307"/>
        <v>0.01</v>
      </c>
      <c r="BH307" s="178">
        <f t="shared" si="308"/>
        <v>0.01</v>
      </c>
      <c r="BI307" s="191"/>
      <c r="BJ307" s="191"/>
      <c r="BK307" s="191"/>
      <c r="BL307" s="191"/>
      <c r="BM307" s="191"/>
      <c r="BN307" s="191"/>
      <c r="BO307" s="191"/>
      <c r="BP307" s="191"/>
    </row>
    <row r="308" spans="2:68" s="108" customFormat="1" x14ac:dyDescent="0.25">
      <c r="B308" s="107"/>
      <c r="E308" s="109" t="s">
        <v>4</v>
      </c>
      <c r="F308" s="110" t="s">
        <v>63</v>
      </c>
      <c r="G308" s="111" t="s">
        <v>54</v>
      </c>
      <c r="H308" s="112">
        <v>950440</v>
      </c>
      <c r="I308" s="112">
        <v>845249</v>
      </c>
      <c r="J308" s="112">
        <v>807125</v>
      </c>
      <c r="K308" s="112">
        <v>858976</v>
      </c>
      <c r="L308" s="112">
        <v>834006</v>
      </c>
      <c r="M308" s="112">
        <v>832863</v>
      </c>
      <c r="N308" s="112">
        <v>784674</v>
      </c>
      <c r="O308" s="112">
        <v>703235</v>
      </c>
      <c r="P308" s="112">
        <v>708929</v>
      </c>
      <c r="R308" s="111" t="s">
        <v>54</v>
      </c>
      <c r="S308" s="220">
        <v>2.6</v>
      </c>
      <c r="T308" s="220">
        <v>2.8</v>
      </c>
      <c r="U308" s="220">
        <v>2.4</v>
      </c>
      <c r="V308" s="220">
        <v>2.2999999999999998</v>
      </c>
      <c r="W308" s="220">
        <v>2.5</v>
      </c>
      <c r="X308" s="220">
        <v>3.1</v>
      </c>
      <c r="Y308" s="220">
        <v>2.1</v>
      </c>
      <c r="Z308" s="220">
        <v>3.7</v>
      </c>
      <c r="AA308" s="220">
        <v>3.6</v>
      </c>
      <c r="AC308" s="111" t="s">
        <v>54</v>
      </c>
      <c r="AD308" s="112">
        <f t="shared" si="312"/>
        <v>49422.879999999997</v>
      </c>
      <c r="AE308" s="112">
        <f t="shared" si="293"/>
        <v>47333.943999999996</v>
      </c>
      <c r="AF308" s="112">
        <f t="shared" si="294"/>
        <v>38742</v>
      </c>
      <c r="AG308" s="112">
        <f t="shared" si="295"/>
        <v>39512.895999999993</v>
      </c>
      <c r="AH308" s="112">
        <f t="shared" si="296"/>
        <v>41700.300000000003</v>
      </c>
      <c r="AI308" s="112">
        <f t="shared" si="297"/>
        <v>51637.506000000008</v>
      </c>
      <c r="AJ308" s="112">
        <f t="shared" si="298"/>
        <v>32956.308000000005</v>
      </c>
      <c r="AK308" s="112">
        <f t="shared" si="309"/>
        <v>52039.39</v>
      </c>
      <c r="AL308" s="112">
        <f t="shared" si="310"/>
        <v>51042.887999999999</v>
      </c>
      <c r="AN308" s="111" t="s">
        <v>54</v>
      </c>
      <c r="AO308" s="113">
        <f t="shared" ref="AO308:AW308" si="342">H308/H307</f>
        <v>0.31100154381684664</v>
      </c>
      <c r="AP308" s="113">
        <f t="shared" si="342"/>
        <v>0.27064050541393719</v>
      </c>
      <c r="AQ308" s="113">
        <f t="shared" si="342"/>
        <v>0.25350653282840896</v>
      </c>
      <c r="AR308" s="113">
        <f t="shared" si="342"/>
        <v>0.26434349735295215</v>
      </c>
      <c r="AS308" s="113">
        <f t="shared" si="342"/>
        <v>0.25176027160934333</v>
      </c>
      <c r="AT308" s="113">
        <f t="shared" si="342"/>
        <v>0.24648289769513898</v>
      </c>
      <c r="AU308" s="113">
        <f t="shared" si="342"/>
        <v>0.22748057566929542</v>
      </c>
      <c r="AV308" s="113">
        <f t="shared" si="342"/>
        <v>0.20136008647286627</v>
      </c>
      <c r="AW308" s="113">
        <f t="shared" si="342"/>
        <v>0.19984213990632696</v>
      </c>
      <c r="AY308" s="111" t="s">
        <v>54</v>
      </c>
      <c r="AZ308" s="179">
        <f t="shared" si="300"/>
        <v>1.6172080278476025E-2</v>
      </c>
      <c r="BA308" s="179">
        <f t="shared" si="301"/>
        <v>1.5155868303180482E-2</v>
      </c>
      <c r="BB308" s="179">
        <f t="shared" si="302"/>
        <v>1.216831357576363E-2</v>
      </c>
      <c r="BC308" s="179">
        <f t="shared" si="303"/>
        <v>1.2159800878235798E-2</v>
      </c>
      <c r="BD308" s="179">
        <f t="shared" si="304"/>
        <v>1.2588013580467168E-2</v>
      </c>
      <c r="BE308" s="179">
        <f t="shared" si="305"/>
        <v>1.5281939657098618E-2</v>
      </c>
      <c r="BF308" s="179">
        <f t="shared" si="306"/>
        <v>9.5541841781104069E-3</v>
      </c>
      <c r="BG308" s="179">
        <f t="shared" si="307"/>
        <v>1.4900646398992103E-2</v>
      </c>
      <c r="BH308" s="179">
        <f t="shared" si="308"/>
        <v>1.4388634073255541E-2</v>
      </c>
    </row>
    <row r="309" spans="2:68" s="108" customFormat="1" x14ac:dyDescent="0.25">
      <c r="B309" s="107"/>
      <c r="E309" s="109" t="s">
        <v>4</v>
      </c>
      <c r="F309" s="110" t="s">
        <v>63</v>
      </c>
      <c r="G309" s="111" t="s">
        <v>55</v>
      </c>
      <c r="H309" s="70">
        <v>902328</v>
      </c>
      <c r="I309" s="70">
        <v>1004518</v>
      </c>
      <c r="J309" s="70">
        <v>970044</v>
      </c>
      <c r="K309" s="70">
        <v>1003020</v>
      </c>
      <c r="L309" s="70">
        <v>1021619</v>
      </c>
      <c r="M309" s="70">
        <v>1030559</v>
      </c>
      <c r="N309" s="70">
        <v>1026808</v>
      </c>
      <c r="O309" s="112">
        <v>1069400</v>
      </c>
      <c r="P309" s="112">
        <v>1084995</v>
      </c>
      <c r="R309" s="111" t="s">
        <v>55</v>
      </c>
      <c r="S309" s="81">
        <v>2.6</v>
      </c>
      <c r="T309" s="81">
        <v>2.2999999999999998</v>
      </c>
      <c r="U309" s="81">
        <v>2.7</v>
      </c>
      <c r="V309" s="81">
        <v>2.2999999999999998</v>
      </c>
      <c r="W309" s="81">
        <v>2</v>
      </c>
      <c r="X309" s="81">
        <v>2.7</v>
      </c>
      <c r="Y309" s="81">
        <v>2</v>
      </c>
      <c r="Z309" s="81">
        <v>2.6</v>
      </c>
      <c r="AA309" s="81">
        <v>2.5</v>
      </c>
      <c r="AC309" s="111" t="s">
        <v>55</v>
      </c>
      <c r="AD309" s="70">
        <f t="shared" si="312"/>
        <v>46921.056000000004</v>
      </c>
      <c r="AE309" s="70">
        <f t="shared" si="293"/>
        <v>46207.828000000001</v>
      </c>
      <c r="AF309" s="70">
        <f t="shared" si="294"/>
        <v>52382.376000000004</v>
      </c>
      <c r="AG309" s="70">
        <f t="shared" si="295"/>
        <v>46138.92</v>
      </c>
      <c r="AH309" s="70">
        <f t="shared" si="296"/>
        <v>40864.76</v>
      </c>
      <c r="AI309" s="70">
        <f t="shared" si="297"/>
        <v>55650.186000000009</v>
      </c>
      <c r="AJ309" s="70">
        <f t="shared" si="298"/>
        <v>41072.32</v>
      </c>
      <c r="AK309" s="70">
        <f t="shared" si="309"/>
        <v>55608.800000000003</v>
      </c>
      <c r="AL309" s="70">
        <f t="shared" si="310"/>
        <v>54249.75</v>
      </c>
      <c r="AN309" s="111" t="s">
        <v>55</v>
      </c>
      <c r="AO309" s="113">
        <f t="shared" ref="AO309:AW309" si="343">H309/H307</f>
        <v>0.29525840771555029</v>
      </c>
      <c r="AP309" s="113">
        <f t="shared" si="343"/>
        <v>0.32163688950521957</v>
      </c>
      <c r="AQ309" s="113">
        <f t="shared" si="343"/>
        <v>0.30467708363760398</v>
      </c>
      <c r="AR309" s="113">
        <f t="shared" si="343"/>
        <v>0.30867197071275337</v>
      </c>
      <c r="AS309" s="113">
        <f t="shared" si="343"/>
        <v>0.30839475605842848</v>
      </c>
      <c r="AT309" s="113">
        <f t="shared" si="343"/>
        <v>0.30499033882619919</v>
      </c>
      <c r="AU309" s="113">
        <f t="shared" si="343"/>
        <v>0.29767632792960885</v>
      </c>
      <c r="AV309" s="113">
        <f t="shared" si="343"/>
        <v>0.30620557349119881</v>
      </c>
      <c r="AW309" s="113">
        <f t="shared" si="343"/>
        <v>0.30585252202641622</v>
      </c>
      <c r="AY309" s="111" t="s">
        <v>55</v>
      </c>
      <c r="AZ309" s="179">
        <f t="shared" si="300"/>
        <v>1.5353437201208615E-2</v>
      </c>
      <c r="BA309" s="179">
        <f t="shared" si="301"/>
        <v>1.4795296917240099E-2</v>
      </c>
      <c r="BB309" s="179">
        <f t="shared" si="302"/>
        <v>1.6452562516430614E-2</v>
      </c>
      <c r="BC309" s="179">
        <f t="shared" si="303"/>
        <v>1.4198910652786653E-2</v>
      </c>
      <c r="BD309" s="179">
        <f t="shared" si="304"/>
        <v>1.2335790242337139E-2</v>
      </c>
      <c r="BE309" s="179">
        <f t="shared" si="305"/>
        <v>1.6469478296614756E-2</v>
      </c>
      <c r="BF309" s="179">
        <f t="shared" si="306"/>
        <v>1.1907053117184353E-2</v>
      </c>
      <c r="BG309" s="179">
        <f t="shared" si="307"/>
        <v>1.5922689821542338E-2</v>
      </c>
      <c r="BH309" s="179">
        <f t="shared" si="308"/>
        <v>1.529262610132081E-2</v>
      </c>
    </row>
    <row r="310" spans="2:68" s="108" customFormat="1" x14ac:dyDescent="0.25">
      <c r="B310" s="107"/>
      <c r="E310" s="109" t="s">
        <v>4</v>
      </c>
      <c r="F310" s="110" t="s">
        <v>63</v>
      </c>
      <c r="G310" s="111" t="s">
        <v>130</v>
      </c>
      <c r="H310" s="70">
        <v>320628</v>
      </c>
      <c r="I310" s="70">
        <v>392491</v>
      </c>
      <c r="J310" s="70">
        <v>409341</v>
      </c>
      <c r="K310" s="70">
        <v>351094</v>
      </c>
      <c r="L310" s="70">
        <v>375278</v>
      </c>
      <c r="M310" s="70">
        <v>416045</v>
      </c>
      <c r="N310" s="70">
        <v>458153</v>
      </c>
      <c r="O310" s="112">
        <v>521787</v>
      </c>
      <c r="P310" s="112">
        <v>477352</v>
      </c>
      <c r="R310" s="111" t="s">
        <v>130</v>
      </c>
      <c r="S310" s="220">
        <v>4.3</v>
      </c>
      <c r="T310" s="220">
        <v>4.7</v>
      </c>
      <c r="U310" s="220">
        <v>3.8</v>
      </c>
      <c r="V310" s="220">
        <v>4.2</v>
      </c>
      <c r="W310" s="220">
        <v>4.5</v>
      </c>
      <c r="X310" s="220">
        <v>4.4000000000000004</v>
      </c>
      <c r="Y310" s="220">
        <v>4.0999999999999996</v>
      </c>
      <c r="Z310" s="220">
        <v>3.7</v>
      </c>
      <c r="AA310" s="220">
        <v>3.8</v>
      </c>
      <c r="AC310" s="111" t="s">
        <v>130</v>
      </c>
      <c r="AD310" s="70">
        <f t="shared" si="312"/>
        <v>27574.007999999998</v>
      </c>
      <c r="AE310" s="70">
        <f t="shared" si="293"/>
        <v>36894.154000000002</v>
      </c>
      <c r="AF310" s="70">
        <f t="shared" si="294"/>
        <v>31109.915999999997</v>
      </c>
      <c r="AG310" s="70">
        <f t="shared" si="295"/>
        <v>29491.896000000001</v>
      </c>
      <c r="AH310" s="70">
        <f t="shared" si="296"/>
        <v>33775.019999999997</v>
      </c>
      <c r="AI310" s="70">
        <f t="shared" si="297"/>
        <v>36611.960000000006</v>
      </c>
      <c r="AJ310" s="70">
        <f t="shared" si="298"/>
        <v>37568.545999999995</v>
      </c>
      <c r="AK310" s="70">
        <f t="shared" si="309"/>
        <v>38612.238000000005</v>
      </c>
      <c r="AL310" s="70">
        <f t="shared" si="310"/>
        <v>36278.752</v>
      </c>
      <c r="AN310" s="111" t="s">
        <v>130</v>
      </c>
      <c r="AO310" s="113">
        <f t="shared" ref="AO310:AW310" si="344">H310/H307</f>
        <v>0.10491541074755682</v>
      </c>
      <c r="AP310" s="113">
        <f t="shared" si="344"/>
        <v>0.12567179920996252</v>
      </c>
      <c r="AQ310" s="113">
        <f t="shared" si="344"/>
        <v>0.12856821143504876</v>
      </c>
      <c r="AR310" s="113">
        <f t="shared" si="344"/>
        <v>0.10804657622522326</v>
      </c>
      <c r="AS310" s="113">
        <f t="shared" si="344"/>
        <v>0.11328466606836299</v>
      </c>
      <c r="AT310" s="113">
        <f t="shared" si="344"/>
        <v>0.12312706552166935</v>
      </c>
      <c r="AU310" s="113">
        <f t="shared" si="344"/>
        <v>0.13282064677128935</v>
      </c>
      <c r="AV310" s="113">
        <f t="shared" si="344"/>
        <v>0.14940535587736314</v>
      </c>
      <c r="AW310" s="113">
        <f t="shared" si="344"/>
        <v>0.13456219899110486</v>
      </c>
      <c r="AY310" s="111" t="s">
        <v>130</v>
      </c>
      <c r="AZ310" s="179">
        <f t="shared" si="300"/>
        <v>9.0227253242898871E-3</v>
      </c>
      <c r="BA310" s="179">
        <f t="shared" si="301"/>
        <v>1.1813149125736477E-2</v>
      </c>
      <c r="BB310" s="179">
        <f t="shared" si="302"/>
        <v>9.7711840690637049E-3</v>
      </c>
      <c r="BC310" s="179">
        <f t="shared" si="303"/>
        <v>9.0759124029187541E-3</v>
      </c>
      <c r="BD310" s="179">
        <f t="shared" si="304"/>
        <v>1.019561994615267E-2</v>
      </c>
      <c r="BE310" s="179">
        <f t="shared" si="305"/>
        <v>1.0835181765906905E-2</v>
      </c>
      <c r="BF310" s="179">
        <f t="shared" si="306"/>
        <v>1.0891293035245726E-2</v>
      </c>
      <c r="BG310" s="179">
        <f t="shared" si="307"/>
        <v>1.1055996334924873E-2</v>
      </c>
      <c r="BH310" s="179">
        <f t="shared" si="308"/>
        <v>1.0226727123323969E-2</v>
      </c>
    </row>
    <row r="311" spans="2:68" s="108" customFormat="1" x14ac:dyDescent="0.25">
      <c r="B311" s="107"/>
      <c r="E311" s="109" t="s">
        <v>4</v>
      </c>
      <c r="F311" s="110" t="s">
        <v>63</v>
      </c>
      <c r="G311" s="111" t="s">
        <v>131</v>
      </c>
      <c r="H311" s="112">
        <v>876347</v>
      </c>
      <c r="I311" s="112">
        <v>864378</v>
      </c>
      <c r="J311" s="112">
        <v>991962</v>
      </c>
      <c r="K311" s="112">
        <v>1027928</v>
      </c>
      <c r="L311" s="112">
        <v>1069011</v>
      </c>
      <c r="M311" s="112">
        <v>1082419</v>
      </c>
      <c r="N311" s="112">
        <v>1166391</v>
      </c>
      <c r="O311" s="112">
        <v>1198003</v>
      </c>
      <c r="P311" s="112">
        <v>1276168</v>
      </c>
      <c r="R311" s="111" t="s">
        <v>131</v>
      </c>
      <c r="S311" s="220">
        <v>2.6</v>
      </c>
      <c r="T311" s="220">
        <v>2.8</v>
      </c>
      <c r="U311" s="220">
        <v>2.4</v>
      </c>
      <c r="V311" s="220">
        <v>1.8</v>
      </c>
      <c r="W311" s="220">
        <v>1.9</v>
      </c>
      <c r="X311" s="220">
        <v>2.7</v>
      </c>
      <c r="Y311" s="220">
        <v>2</v>
      </c>
      <c r="Z311" s="220">
        <v>2.6</v>
      </c>
      <c r="AA311" s="220">
        <v>2.5</v>
      </c>
      <c r="AC311" s="111" t="s">
        <v>131</v>
      </c>
      <c r="AD311" s="112">
        <f t="shared" si="312"/>
        <v>45570.044000000002</v>
      </c>
      <c r="AE311" s="112">
        <f t="shared" si="293"/>
        <v>48405.167999999998</v>
      </c>
      <c r="AF311" s="112">
        <f t="shared" si="294"/>
        <v>47614.175999999999</v>
      </c>
      <c r="AG311" s="112">
        <f t="shared" si="295"/>
        <v>37005.408000000003</v>
      </c>
      <c r="AH311" s="112">
        <f t="shared" si="296"/>
        <v>40622.417999999998</v>
      </c>
      <c r="AI311" s="112">
        <f t="shared" si="297"/>
        <v>58450.626000000004</v>
      </c>
      <c r="AJ311" s="112">
        <f t="shared" si="298"/>
        <v>46655.64</v>
      </c>
      <c r="AK311" s="112">
        <f t="shared" si="309"/>
        <v>62296.156000000003</v>
      </c>
      <c r="AL311" s="112">
        <f t="shared" si="310"/>
        <v>63808.4</v>
      </c>
      <c r="AN311" s="111" t="s">
        <v>131</v>
      </c>
      <c r="AO311" s="113">
        <f t="shared" ref="AO311:AW311" si="345">H311/H307</f>
        <v>0.28675694406723423</v>
      </c>
      <c r="AP311" s="113">
        <f t="shared" si="345"/>
        <v>0.27676542508620322</v>
      </c>
      <c r="AQ311" s="113">
        <f t="shared" si="345"/>
        <v>0.3115612170574994</v>
      </c>
      <c r="AR311" s="113">
        <f t="shared" si="345"/>
        <v>0.31633722309706602</v>
      </c>
      <c r="AS311" s="113">
        <f t="shared" si="345"/>
        <v>0.32270091547707774</v>
      </c>
      <c r="AT311" s="113">
        <f t="shared" si="345"/>
        <v>0.32033812480597007</v>
      </c>
      <c r="AU311" s="113">
        <f t="shared" si="345"/>
        <v>0.3381420770096692</v>
      </c>
      <c r="AV311" s="113">
        <f t="shared" si="345"/>
        <v>0.34302898415857175</v>
      </c>
      <c r="AW311" s="113">
        <f t="shared" si="345"/>
        <v>0.3597428571831276</v>
      </c>
      <c r="AY311" s="111" t="s">
        <v>131</v>
      </c>
      <c r="AZ311" s="179">
        <f t="shared" si="300"/>
        <v>1.491136109149618E-2</v>
      </c>
      <c r="BA311" s="179">
        <f t="shared" si="301"/>
        <v>1.5498863804827378E-2</v>
      </c>
      <c r="BB311" s="179">
        <f t="shared" si="302"/>
        <v>1.495493841875997E-2</v>
      </c>
      <c r="BC311" s="179">
        <f t="shared" si="303"/>
        <v>1.1388140031494378E-2</v>
      </c>
      <c r="BD311" s="179">
        <f t="shared" si="304"/>
        <v>1.2262634788128954E-2</v>
      </c>
      <c r="BE311" s="179">
        <f t="shared" si="305"/>
        <v>1.7298258739522385E-2</v>
      </c>
      <c r="BF311" s="179">
        <f t="shared" si="306"/>
        <v>1.3525683080386769E-2</v>
      </c>
      <c r="BG311" s="179">
        <f t="shared" si="307"/>
        <v>1.7837507176245729E-2</v>
      </c>
      <c r="BH311" s="179">
        <f t="shared" si="308"/>
        <v>1.7987142859156379E-2</v>
      </c>
    </row>
    <row r="312" spans="2:68" s="87" customFormat="1" x14ac:dyDescent="0.25">
      <c r="B312" s="84"/>
      <c r="C312" s="85"/>
      <c r="D312" s="85"/>
      <c r="E312" s="109" t="s">
        <v>5</v>
      </c>
      <c r="F312" s="110" t="s">
        <v>63</v>
      </c>
      <c r="G312" s="195" t="s">
        <v>7</v>
      </c>
      <c r="H312" s="69">
        <v>3160662</v>
      </c>
      <c r="I312" s="69">
        <v>3224719</v>
      </c>
      <c r="J312" s="69">
        <v>3283773</v>
      </c>
      <c r="K312" s="69">
        <v>3348671</v>
      </c>
      <c r="L312" s="69">
        <v>3400154</v>
      </c>
      <c r="M312" s="69">
        <v>3449271</v>
      </c>
      <c r="N312" s="69">
        <v>3515300</v>
      </c>
      <c r="O312" s="69">
        <v>3565107</v>
      </c>
      <c r="P312" s="69">
        <v>3610889</v>
      </c>
      <c r="R312" s="195" t="s">
        <v>7</v>
      </c>
      <c r="S312" s="226">
        <v>1</v>
      </c>
      <c r="T312" s="226">
        <v>0.5</v>
      </c>
      <c r="U312" s="226">
        <v>0.4</v>
      </c>
      <c r="V312" s="226">
        <v>0.5</v>
      </c>
      <c r="W312" s="226">
        <v>0.5</v>
      </c>
      <c r="X312" s="226">
        <v>0.5</v>
      </c>
      <c r="Y312" s="226">
        <v>0.5</v>
      </c>
      <c r="Z312" s="226">
        <v>0.5</v>
      </c>
      <c r="AA312" s="226">
        <v>0.5</v>
      </c>
      <c r="AC312" s="195" t="s">
        <v>7</v>
      </c>
      <c r="AD312" s="69">
        <f t="shared" si="312"/>
        <v>63213.24</v>
      </c>
      <c r="AE312" s="69">
        <f t="shared" si="293"/>
        <v>32247.19</v>
      </c>
      <c r="AF312" s="69">
        <f t="shared" si="294"/>
        <v>26270.184000000005</v>
      </c>
      <c r="AG312" s="69">
        <f t="shared" si="295"/>
        <v>33486.71</v>
      </c>
      <c r="AH312" s="69">
        <f t="shared" si="296"/>
        <v>34001.54</v>
      </c>
      <c r="AI312" s="69">
        <f t="shared" si="297"/>
        <v>34492.71</v>
      </c>
      <c r="AJ312" s="69">
        <f t="shared" si="298"/>
        <v>35153</v>
      </c>
      <c r="AK312" s="69">
        <f t="shared" si="309"/>
        <v>35651.07</v>
      </c>
      <c r="AL312" s="69">
        <f t="shared" si="310"/>
        <v>36108.89</v>
      </c>
      <c r="AN312" s="195" t="s">
        <v>7</v>
      </c>
      <c r="AO312" s="98">
        <f t="shared" ref="AO312:AW312" si="346">H312/H312</f>
        <v>1</v>
      </c>
      <c r="AP312" s="98">
        <f t="shared" si="346"/>
        <v>1</v>
      </c>
      <c r="AQ312" s="98">
        <f t="shared" si="346"/>
        <v>1</v>
      </c>
      <c r="AR312" s="98">
        <f t="shared" si="346"/>
        <v>1</v>
      </c>
      <c r="AS312" s="98">
        <f t="shared" si="346"/>
        <v>1</v>
      </c>
      <c r="AT312" s="98">
        <f t="shared" si="346"/>
        <v>1</v>
      </c>
      <c r="AU312" s="98">
        <f t="shared" si="346"/>
        <v>1</v>
      </c>
      <c r="AV312" s="98">
        <f t="shared" si="346"/>
        <v>1</v>
      </c>
      <c r="AW312" s="98">
        <f t="shared" si="346"/>
        <v>1</v>
      </c>
      <c r="AX312" s="191"/>
      <c r="AY312" s="195" t="s">
        <v>7</v>
      </c>
      <c r="AZ312" s="178">
        <f t="shared" si="300"/>
        <v>0.02</v>
      </c>
      <c r="BA312" s="178">
        <f t="shared" si="301"/>
        <v>0.01</v>
      </c>
      <c r="BB312" s="178">
        <f t="shared" si="302"/>
        <v>8.0000000000000002E-3</v>
      </c>
      <c r="BC312" s="178">
        <f t="shared" si="303"/>
        <v>0.01</v>
      </c>
      <c r="BD312" s="178">
        <f t="shared" si="304"/>
        <v>0.01</v>
      </c>
      <c r="BE312" s="178">
        <f t="shared" si="305"/>
        <v>0.01</v>
      </c>
      <c r="BF312" s="178">
        <f t="shared" si="306"/>
        <v>0.01</v>
      </c>
      <c r="BG312" s="178">
        <f t="shared" si="307"/>
        <v>0.01</v>
      </c>
      <c r="BH312" s="178">
        <f t="shared" si="308"/>
        <v>0.01</v>
      </c>
      <c r="BI312" s="191"/>
      <c r="BJ312" s="191"/>
      <c r="BK312" s="191"/>
      <c r="BL312" s="191"/>
      <c r="BM312" s="191"/>
      <c r="BN312" s="191"/>
      <c r="BO312" s="191"/>
      <c r="BP312" s="191"/>
    </row>
    <row r="313" spans="2:68" s="108" customFormat="1" x14ac:dyDescent="0.25">
      <c r="B313" s="107"/>
      <c r="E313" s="109" t="s">
        <v>5</v>
      </c>
      <c r="F313" s="110" t="s">
        <v>63</v>
      </c>
      <c r="G313" s="111" t="s">
        <v>54</v>
      </c>
      <c r="H313" s="112">
        <v>880425</v>
      </c>
      <c r="I313" s="112">
        <v>794094</v>
      </c>
      <c r="J313" s="112">
        <v>769261</v>
      </c>
      <c r="K313" s="112">
        <v>735281</v>
      </c>
      <c r="L313" s="112">
        <v>698083</v>
      </c>
      <c r="M313" s="112">
        <v>690861</v>
      </c>
      <c r="N313" s="112">
        <v>637382</v>
      </c>
      <c r="O313" s="112">
        <v>592428</v>
      </c>
      <c r="P313" s="112">
        <v>570678</v>
      </c>
      <c r="R313" s="111" t="s">
        <v>54</v>
      </c>
      <c r="S313" s="220">
        <v>2.6</v>
      </c>
      <c r="T313" s="220">
        <v>2.8</v>
      </c>
      <c r="U313" s="220">
        <v>2.4</v>
      </c>
      <c r="V313" s="220">
        <v>2.7</v>
      </c>
      <c r="W313" s="220">
        <v>3.6</v>
      </c>
      <c r="X313" s="220">
        <v>3.7</v>
      </c>
      <c r="Y313" s="220">
        <v>3.1</v>
      </c>
      <c r="Z313" s="220">
        <v>3.7</v>
      </c>
      <c r="AA313" s="220">
        <v>3.6</v>
      </c>
      <c r="AC313" s="111" t="s">
        <v>54</v>
      </c>
      <c r="AD313" s="112">
        <f t="shared" si="312"/>
        <v>45782.1</v>
      </c>
      <c r="AE313" s="112">
        <f t="shared" si="293"/>
        <v>44469.263999999996</v>
      </c>
      <c r="AF313" s="112">
        <f t="shared" si="294"/>
        <v>36924.527999999998</v>
      </c>
      <c r="AG313" s="112">
        <f t="shared" si="295"/>
        <v>39705.174000000006</v>
      </c>
      <c r="AH313" s="112">
        <f t="shared" si="296"/>
        <v>50261.976000000002</v>
      </c>
      <c r="AI313" s="112">
        <f t="shared" si="297"/>
        <v>51123.714000000007</v>
      </c>
      <c r="AJ313" s="112">
        <f t="shared" si="298"/>
        <v>39517.684000000001</v>
      </c>
      <c r="AK313" s="112">
        <f t="shared" si="309"/>
        <v>43839.671999999999</v>
      </c>
      <c r="AL313" s="112">
        <f t="shared" si="310"/>
        <v>41088.815999999999</v>
      </c>
      <c r="AN313" s="111" t="s">
        <v>54</v>
      </c>
      <c r="AO313" s="113">
        <f t="shared" ref="AO313:AW313" si="347">H313/H312</f>
        <v>0.27855715036913153</v>
      </c>
      <c r="AP313" s="113">
        <f t="shared" si="347"/>
        <v>0.24625215406365639</v>
      </c>
      <c r="AQ313" s="113">
        <f t="shared" si="347"/>
        <v>0.23426132074293807</v>
      </c>
      <c r="AR313" s="113">
        <f t="shared" si="347"/>
        <v>0.21957397427218142</v>
      </c>
      <c r="AS313" s="113">
        <f t="shared" si="347"/>
        <v>0.20530923011134203</v>
      </c>
      <c r="AT313" s="113">
        <f t="shared" si="347"/>
        <v>0.20029188776411017</v>
      </c>
      <c r="AU313" s="113">
        <f t="shared" si="347"/>
        <v>0.18131653059482833</v>
      </c>
      <c r="AV313" s="113">
        <f t="shared" si="347"/>
        <v>0.16617397458196906</v>
      </c>
      <c r="AW313" s="113">
        <f t="shared" si="347"/>
        <v>0.15804362859118626</v>
      </c>
      <c r="AY313" s="111" t="s">
        <v>54</v>
      </c>
      <c r="AZ313" s="179">
        <f t="shared" si="300"/>
        <v>1.4484971819194841E-2</v>
      </c>
      <c r="BA313" s="179">
        <f t="shared" si="301"/>
        <v>1.3790120627564757E-2</v>
      </c>
      <c r="BB313" s="179">
        <f t="shared" si="302"/>
        <v>1.1244543395661026E-2</v>
      </c>
      <c r="BC313" s="179">
        <f t="shared" si="303"/>
        <v>1.1856994610697797E-2</v>
      </c>
      <c r="BD313" s="179">
        <f t="shared" si="304"/>
        <v>1.4782264568016625E-2</v>
      </c>
      <c r="BE313" s="179">
        <f t="shared" si="305"/>
        <v>1.4821599694544153E-2</v>
      </c>
      <c r="BF313" s="179">
        <f t="shared" si="306"/>
        <v>1.1241624896879356E-2</v>
      </c>
      <c r="BG313" s="179">
        <f t="shared" si="307"/>
        <v>1.229687411906571E-2</v>
      </c>
      <c r="BH313" s="179">
        <f t="shared" si="308"/>
        <v>1.1379141258565411E-2</v>
      </c>
    </row>
    <row r="314" spans="2:68" s="108" customFormat="1" x14ac:dyDescent="0.25">
      <c r="B314" s="107"/>
      <c r="E314" s="109" t="s">
        <v>5</v>
      </c>
      <c r="F314" s="110" t="s">
        <v>63</v>
      </c>
      <c r="G314" s="111" t="s">
        <v>55</v>
      </c>
      <c r="H314" s="70">
        <v>739568</v>
      </c>
      <c r="I314" s="70">
        <v>866598</v>
      </c>
      <c r="J314" s="70">
        <v>806554</v>
      </c>
      <c r="K314" s="70">
        <v>860869</v>
      </c>
      <c r="L314" s="70">
        <v>914458</v>
      </c>
      <c r="M314" s="70">
        <v>895111</v>
      </c>
      <c r="N314" s="70">
        <v>913362</v>
      </c>
      <c r="O314" s="112">
        <v>947058</v>
      </c>
      <c r="P314" s="112">
        <v>951411</v>
      </c>
      <c r="R314" s="111" t="s">
        <v>55</v>
      </c>
      <c r="S314" s="81">
        <v>3.3</v>
      </c>
      <c r="T314" s="81">
        <v>2.8</v>
      </c>
      <c r="U314" s="81">
        <v>2.7</v>
      </c>
      <c r="V314" s="81">
        <v>2.8</v>
      </c>
      <c r="W314" s="81">
        <v>3</v>
      </c>
      <c r="X314" s="81">
        <v>2.6</v>
      </c>
      <c r="Y314" s="81">
        <v>2.5</v>
      </c>
      <c r="Z314" s="81">
        <v>3</v>
      </c>
      <c r="AA314" s="81">
        <v>2.9</v>
      </c>
      <c r="AC314" s="111" t="s">
        <v>55</v>
      </c>
      <c r="AD314" s="70">
        <f t="shared" si="312"/>
        <v>48811.487999999998</v>
      </c>
      <c r="AE314" s="70">
        <f t="shared" si="293"/>
        <v>48529.487999999998</v>
      </c>
      <c r="AF314" s="70">
        <f t="shared" si="294"/>
        <v>43553.916000000005</v>
      </c>
      <c r="AG314" s="70">
        <f t="shared" si="295"/>
        <v>48208.663999999997</v>
      </c>
      <c r="AH314" s="70">
        <f t="shared" si="296"/>
        <v>54867.48</v>
      </c>
      <c r="AI314" s="70">
        <f t="shared" si="297"/>
        <v>46545.772000000004</v>
      </c>
      <c r="AJ314" s="70">
        <f t="shared" si="298"/>
        <v>45668.1</v>
      </c>
      <c r="AK314" s="70">
        <f t="shared" si="309"/>
        <v>56823.48</v>
      </c>
      <c r="AL314" s="70">
        <f t="shared" si="310"/>
        <v>55181.837999999996</v>
      </c>
      <c r="AN314" s="111" t="s">
        <v>55</v>
      </c>
      <c r="AO314" s="113">
        <f t="shared" ref="AO314:AW314" si="348">H314/H312</f>
        <v>0.23399148659363134</v>
      </c>
      <c r="AP314" s="113">
        <f t="shared" si="348"/>
        <v>0.26873597358405493</v>
      </c>
      <c r="AQ314" s="113">
        <f t="shared" si="348"/>
        <v>0.24561807408733796</v>
      </c>
      <c r="AR314" s="113">
        <f t="shared" si="348"/>
        <v>0.25707780788258983</v>
      </c>
      <c r="AS314" s="113">
        <f t="shared" si="348"/>
        <v>0.2689460536199243</v>
      </c>
      <c r="AT314" s="113">
        <f t="shared" si="348"/>
        <v>0.25950729878864259</v>
      </c>
      <c r="AU314" s="113">
        <f t="shared" si="348"/>
        <v>0.25982476602281457</v>
      </c>
      <c r="AV314" s="113">
        <f t="shared" si="348"/>
        <v>0.26564644483321259</v>
      </c>
      <c r="AW314" s="113">
        <f t="shared" si="348"/>
        <v>0.26348386782313166</v>
      </c>
      <c r="AY314" s="111" t="s">
        <v>55</v>
      </c>
      <c r="AZ314" s="179">
        <f t="shared" si="300"/>
        <v>1.5443438115179668E-2</v>
      </c>
      <c r="BA314" s="179">
        <f t="shared" si="301"/>
        <v>1.5049214520707075E-2</v>
      </c>
      <c r="BB314" s="179">
        <f t="shared" si="302"/>
        <v>1.3263376000716252E-2</v>
      </c>
      <c r="BC314" s="179">
        <f t="shared" si="303"/>
        <v>1.4396357241425028E-2</v>
      </c>
      <c r="BD314" s="179">
        <f t="shared" si="304"/>
        <v>1.6136763217195458E-2</v>
      </c>
      <c r="BE314" s="179">
        <f t="shared" si="305"/>
        <v>1.3494379537009415E-2</v>
      </c>
      <c r="BF314" s="179">
        <f t="shared" si="306"/>
        <v>1.2991238301140729E-2</v>
      </c>
      <c r="BG314" s="179">
        <f t="shared" si="307"/>
        <v>1.5938786689992757E-2</v>
      </c>
      <c r="BH314" s="179">
        <f t="shared" si="308"/>
        <v>1.5282064333741636E-2</v>
      </c>
    </row>
    <row r="315" spans="2:68" s="108" customFormat="1" x14ac:dyDescent="0.25">
      <c r="B315" s="107"/>
      <c r="E315" s="109" t="s">
        <v>5</v>
      </c>
      <c r="F315" s="110" t="s">
        <v>63</v>
      </c>
      <c r="G315" s="111" t="s">
        <v>130</v>
      </c>
      <c r="H315" s="70">
        <v>375523</v>
      </c>
      <c r="I315" s="70">
        <v>427644</v>
      </c>
      <c r="J315" s="70">
        <v>486433</v>
      </c>
      <c r="K315" s="70">
        <v>420565</v>
      </c>
      <c r="L315" s="70">
        <v>399630</v>
      </c>
      <c r="M315" s="70">
        <v>434349</v>
      </c>
      <c r="N315" s="70">
        <v>454780</v>
      </c>
      <c r="O315" s="112">
        <v>488979</v>
      </c>
      <c r="P315" s="112">
        <v>485971</v>
      </c>
      <c r="R315" s="111" t="s">
        <v>130</v>
      </c>
      <c r="S315" s="220">
        <v>3.9</v>
      </c>
      <c r="T315" s="220">
        <v>3.9</v>
      </c>
      <c r="U315" s="220">
        <v>3.6</v>
      </c>
      <c r="V315" s="220">
        <v>3.9</v>
      </c>
      <c r="W315" s="220">
        <v>4.5</v>
      </c>
      <c r="X315" s="220">
        <v>4.4000000000000004</v>
      </c>
      <c r="Y315" s="220">
        <v>4.0999999999999996</v>
      </c>
      <c r="Z315" s="220">
        <v>3.9</v>
      </c>
      <c r="AA315" s="220">
        <v>3.8</v>
      </c>
      <c r="AC315" s="111" t="s">
        <v>130</v>
      </c>
      <c r="AD315" s="70">
        <f t="shared" si="312"/>
        <v>29290.793999999998</v>
      </c>
      <c r="AE315" s="70">
        <f t="shared" si="293"/>
        <v>33356.231999999996</v>
      </c>
      <c r="AF315" s="70">
        <f t="shared" si="294"/>
        <v>35023.175999999999</v>
      </c>
      <c r="AG315" s="70">
        <f t="shared" si="295"/>
        <v>32804.07</v>
      </c>
      <c r="AH315" s="70">
        <f t="shared" si="296"/>
        <v>35966.699999999997</v>
      </c>
      <c r="AI315" s="70">
        <f t="shared" si="297"/>
        <v>38222.712</v>
      </c>
      <c r="AJ315" s="70">
        <f t="shared" si="298"/>
        <v>37291.959999999992</v>
      </c>
      <c r="AK315" s="70">
        <f t="shared" si="309"/>
        <v>38140.361999999994</v>
      </c>
      <c r="AL315" s="70">
        <f t="shared" si="310"/>
        <v>36933.795999999995</v>
      </c>
      <c r="AN315" s="111" t="s">
        <v>130</v>
      </c>
      <c r="AO315" s="113">
        <f t="shared" ref="AO315:AW315" si="349">H315/H312</f>
        <v>0.11881150214733496</v>
      </c>
      <c r="AP315" s="113">
        <f t="shared" si="349"/>
        <v>0.13261434562205265</v>
      </c>
      <c r="AQ315" s="113">
        <f t="shared" si="349"/>
        <v>0.14813234654161539</v>
      </c>
      <c r="AR315" s="113">
        <f t="shared" si="349"/>
        <v>0.12559161530051774</v>
      </c>
      <c r="AS315" s="113">
        <f t="shared" si="349"/>
        <v>0.11753291174458569</v>
      </c>
      <c r="AT315" s="113">
        <f t="shared" si="349"/>
        <v>0.1259248693419566</v>
      </c>
      <c r="AU315" s="113">
        <f t="shared" si="349"/>
        <v>0.12937160413051518</v>
      </c>
      <c r="AV315" s="113">
        <f t="shared" si="349"/>
        <v>0.1371568931872171</v>
      </c>
      <c r="AW315" s="113">
        <f t="shared" si="349"/>
        <v>0.1345848626197039</v>
      </c>
      <c r="AY315" s="111" t="s">
        <v>130</v>
      </c>
      <c r="AZ315" s="179">
        <f t="shared" si="300"/>
        <v>9.2672971674921268E-3</v>
      </c>
      <c r="BA315" s="179">
        <f t="shared" si="301"/>
        <v>1.0343918958520106E-2</v>
      </c>
      <c r="BB315" s="179">
        <f t="shared" si="302"/>
        <v>1.0665528950996308E-2</v>
      </c>
      <c r="BC315" s="179">
        <f t="shared" si="303"/>
        <v>9.7961459934403847E-3</v>
      </c>
      <c r="BD315" s="179">
        <f t="shared" si="304"/>
        <v>1.0577962057012714E-2</v>
      </c>
      <c r="BE315" s="179">
        <f t="shared" si="305"/>
        <v>1.1081388502092181E-2</v>
      </c>
      <c r="BF315" s="179">
        <f t="shared" si="306"/>
        <v>1.0608471538702244E-2</v>
      </c>
      <c r="BG315" s="179">
        <f t="shared" si="307"/>
        <v>1.0698237668602934E-2</v>
      </c>
      <c r="BH315" s="179">
        <f t="shared" si="308"/>
        <v>1.0228449559097496E-2</v>
      </c>
    </row>
    <row r="316" spans="2:68" s="108" customFormat="1" x14ac:dyDescent="0.25">
      <c r="B316" s="107"/>
      <c r="E316" s="109" t="s">
        <v>5</v>
      </c>
      <c r="F316" s="110" t="s">
        <v>63</v>
      </c>
      <c r="G316" s="111" t="s">
        <v>131</v>
      </c>
      <c r="H316" s="112">
        <v>1161130</v>
      </c>
      <c r="I316" s="112">
        <v>1120425</v>
      </c>
      <c r="J316" s="112">
        <v>1215667</v>
      </c>
      <c r="K316" s="112">
        <v>1319998</v>
      </c>
      <c r="L316" s="112">
        <v>1373423</v>
      </c>
      <c r="M316" s="112">
        <v>1415326</v>
      </c>
      <c r="N316" s="112">
        <v>1494736</v>
      </c>
      <c r="O316" s="112">
        <v>1536642</v>
      </c>
      <c r="P316" s="112">
        <v>1602830</v>
      </c>
      <c r="R316" s="111" t="s">
        <v>131</v>
      </c>
      <c r="S316" s="220">
        <v>2.2000000000000002</v>
      </c>
      <c r="T316" s="220">
        <v>2.2999999999999998</v>
      </c>
      <c r="U316" s="220">
        <v>1.8</v>
      </c>
      <c r="V316" s="220">
        <v>1.7</v>
      </c>
      <c r="W316" s="220">
        <v>1.8</v>
      </c>
      <c r="X316" s="220">
        <v>2.4</v>
      </c>
      <c r="Y316" s="220">
        <v>1.9</v>
      </c>
      <c r="Z316" s="220">
        <v>2</v>
      </c>
      <c r="AA316" s="220">
        <v>1.9</v>
      </c>
      <c r="AC316" s="111" t="s">
        <v>131</v>
      </c>
      <c r="AD316" s="112">
        <f t="shared" si="312"/>
        <v>51089.72</v>
      </c>
      <c r="AE316" s="112">
        <f t="shared" si="293"/>
        <v>51539.55</v>
      </c>
      <c r="AF316" s="112">
        <f t="shared" si="294"/>
        <v>43764.012000000002</v>
      </c>
      <c r="AG316" s="112">
        <f t="shared" si="295"/>
        <v>44879.932000000001</v>
      </c>
      <c r="AH316" s="112">
        <f t="shared" si="296"/>
        <v>49443.227999999996</v>
      </c>
      <c r="AI316" s="112">
        <f t="shared" si="297"/>
        <v>67935.648000000001</v>
      </c>
      <c r="AJ316" s="112">
        <f t="shared" si="298"/>
        <v>56799.968000000001</v>
      </c>
      <c r="AK316" s="112">
        <f t="shared" si="309"/>
        <v>61465.68</v>
      </c>
      <c r="AL316" s="112">
        <f t="shared" si="310"/>
        <v>60907.54</v>
      </c>
      <c r="AN316" s="111" t="s">
        <v>131</v>
      </c>
      <c r="AO316" s="113">
        <f t="shared" ref="AO316:AW316" si="350">H316/H312</f>
        <v>0.36736924100077767</v>
      </c>
      <c r="AP316" s="113">
        <f t="shared" si="350"/>
        <v>0.34744887849142825</v>
      </c>
      <c r="AQ316" s="113">
        <f t="shared" si="350"/>
        <v>0.37020433507431849</v>
      </c>
      <c r="AR316" s="113">
        <f t="shared" si="350"/>
        <v>0.39418563364391423</v>
      </c>
      <c r="AS316" s="113">
        <f t="shared" si="350"/>
        <v>0.40392964553958438</v>
      </c>
      <c r="AT316" s="113">
        <f t="shared" si="350"/>
        <v>0.41032612398387946</v>
      </c>
      <c r="AU316" s="113">
        <f t="shared" si="350"/>
        <v>0.42520865928939211</v>
      </c>
      <c r="AV316" s="113">
        <f t="shared" si="350"/>
        <v>0.43102268739760125</v>
      </c>
      <c r="AW316" s="113">
        <f t="shared" si="350"/>
        <v>0.44388791790608906</v>
      </c>
      <c r="AY316" s="111" t="s">
        <v>131</v>
      </c>
      <c r="AZ316" s="179">
        <f t="shared" si="300"/>
        <v>1.6164246604034219E-2</v>
      </c>
      <c r="BA316" s="179">
        <f t="shared" si="301"/>
        <v>1.5982648410605697E-2</v>
      </c>
      <c r="BB316" s="179">
        <f t="shared" si="302"/>
        <v>1.3327356062675466E-2</v>
      </c>
      <c r="BC316" s="179">
        <f t="shared" si="303"/>
        <v>1.3402311543893083E-2</v>
      </c>
      <c r="BD316" s="179">
        <f t="shared" si="304"/>
        <v>1.4541467239425039E-2</v>
      </c>
      <c r="BE316" s="179">
        <f t="shared" si="305"/>
        <v>1.9695653951226213E-2</v>
      </c>
      <c r="BF316" s="179">
        <f t="shared" si="306"/>
        <v>1.61579290529969E-2</v>
      </c>
      <c r="BG316" s="179">
        <f t="shared" si="307"/>
        <v>1.724090749590405E-2</v>
      </c>
      <c r="BH316" s="179">
        <f t="shared" si="308"/>
        <v>1.6867740880431383E-2</v>
      </c>
    </row>
    <row r="317" spans="2:68" x14ac:dyDescent="0.3">
      <c r="H317" s="122" t="s">
        <v>122</v>
      </c>
      <c r="I317" s="122">
        <v>2003</v>
      </c>
      <c r="J317" s="122">
        <v>2005</v>
      </c>
      <c r="K317" s="122" t="s">
        <v>123</v>
      </c>
      <c r="L317" s="122" t="s">
        <v>124</v>
      </c>
      <c r="M317" s="122" t="s">
        <v>125</v>
      </c>
      <c r="N317" s="122" t="s">
        <v>126</v>
      </c>
      <c r="O317" s="122" t="s">
        <v>127</v>
      </c>
      <c r="P317" s="122" t="s">
        <v>128</v>
      </c>
      <c r="R317" s="111"/>
      <c r="S317" s="120" t="s">
        <v>122</v>
      </c>
      <c r="T317" s="121">
        <v>2003</v>
      </c>
      <c r="U317" s="121">
        <v>2005</v>
      </c>
      <c r="V317" s="122" t="s">
        <v>123</v>
      </c>
      <c r="W317" s="122" t="s">
        <v>124</v>
      </c>
      <c r="X317" s="122" t="s">
        <v>125</v>
      </c>
      <c r="Y317" s="122" t="s">
        <v>126</v>
      </c>
      <c r="Z317" s="122" t="s">
        <v>127</v>
      </c>
      <c r="AA317" s="122" t="s">
        <v>128</v>
      </c>
      <c r="AC317" s="197" t="s">
        <v>8</v>
      </c>
      <c r="AD317" s="120" t="s">
        <v>122</v>
      </c>
      <c r="AE317" s="121">
        <v>2003</v>
      </c>
      <c r="AF317" s="121">
        <v>2005</v>
      </c>
      <c r="AG317" s="122" t="s">
        <v>123</v>
      </c>
      <c r="AH317" s="122" t="s">
        <v>124</v>
      </c>
      <c r="AI317" s="122" t="s">
        <v>125</v>
      </c>
      <c r="AJ317" s="122" t="s">
        <v>126</v>
      </c>
      <c r="AK317" s="122" t="s">
        <v>127</v>
      </c>
      <c r="AL317" s="122" t="s">
        <v>128</v>
      </c>
      <c r="AN317" s="197" t="s">
        <v>8</v>
      </c>
      <c r="AO317" s="120" t="s">
        <v>122</v>
      </c>
      <c r="AP317" s="121">
        <v>2003</v>
      </c>
      <c r="AQ317" s="121">
        <v>2005</v>
      </c>
      <c r="AR317" s="122" t="s">
        <v>123</v>
      </c>
      <c r="AS317" s="122" t="s">
        <v>124</v>
      </c>
      <c r="AT317" s="122" t="s">
        <v>125</v>
      </c>
      <c r="AU317" s="122" t="s">
        <v>126</v>
      </c>
      <c r="AV317" s="122" t="s">
        <v>127</v>
      </c>
      <c r="AW317" s="122" t="s">
        <v>128</v>
      </c>
      <c r="AY317" s="197" t="s">
        <v>8</v>
      </c>
      <c r="AZ317" s="120" t="s">
        <v>122</v>
      </c>
      <c r="BA317" s="121">
        <v>2003</v>
      </c>
      <c r="BB317" s="121">
        <v>2005</v>
      </c>
      <c r="BC317" s="122" t="s">
        <v>123</v>
      </c>
      <c r="BD317" s="122" t="s">
        <v>124</v>
      </c>
      <c r="BE317" s="122" t="s">
        <v>125</v>
      </c>
      <c r="BF317" s="122" t="s">
        <v>126</v>
      </c>
      <c r="BG317" s="122" t="s">
        <v>127</v>
      </c>
      <c r="BH317" s="122" t="s">
        <v>128</v>
      </c>
    </row>
    <row r="318" spans="2:68" s="87" customFormat="1" x14ac:dyDescent="0.25">
      <c r="B318" s="84"/>
      <c r="C318" s="85"/>
      <c r="D318" s="85"/>
      <c r="E318" s="109" t="s">
        <v>0</v>
      </c>
      <c r="F318" s="110" t="s">
        <v>64</v>
      </c>
      <c r="G318" s="195" t="s">
        <v>7</v>
      </c>
      <c r="H318" s="69">
        <v>1235761</v>
      </c>
      <c r="I318" s="69">
        <v>1289901</v>
      </c>
      <c r="J318" s="69">
        <v>1320266</v>
      </c>
      <c r="K318" s="69">
        <v>1351009</v>
      </c>
      <c r="L318" s="69">
        <v>1341233</v>
      </c>
      <c r="M318" s="69">
        <v>1304199</v>
      </c>
      <c r="N318" s="69">
        <v>1281609</v>
      </c>
      <c r="O318" s="69">
        <v>1259591</v>
      </c>
      <c r="P318" s="69">
        <v>1274217</v>
      </c>
      <c r="R318" s="195" t="s">
        <v>7</v>
      </c>
      <c r="S318" s="226">
        <v>0.6</v>
      </c>
      <c r="T318" s="226">
        <v>0.6</v>
      </c>
      <c r="U318" s="226">
        <v>0.6</v>
      </c>
      <c r="V318" s="226">
        <v>0.7</v>
      </c>
      <c r="W318" s="226">
        <v>0.6</v>
      </c>
      <c r="X318" s="226">
        <v>0.6</v>
      </c>
      <c r="Y318" s="226">
        <v>0.8</v>
      </c>
      <c r="Z318" s="226">
        <v>1.1000000000000001</v>
      </c>
      <c r="AA318" s="226">
        <v>1.1000000000000001</v>
      </c>
      <c r="AC318" s="195" t="s">
        <v>7</v>
      </c>
      <c r="AD318" s="69">
        <f>2*(H318*S318/100)</f>
        <v>14829.132</v>
      </c>
      <c r="AE318" s="69">
        <f t="shared" ref="AE318:AE357" si="351">2*(I318*T318/100)</f>
        <v>15478.812</v>
      </c>
      <c r="AF318" s="69">
        <f t="shared" ref="AF318:AF357" si="352">2*(J318*U318/100)</f>
        <v>15843.191999999999</v>
      </c>
      <c r="AG318" s="69">
        <f t="shared" ref="AG318:AG357" si="353">2*(K318*V318/100)</f>
        <v>18914.126</v>
      </c>
      <c r="AH318" s="69">
        <f t="shared" ref="AH318:AH357" si="354">2*(L318*W318/100)</f>
        <v>16094.795999999998</v>
      </c>
      <c r="AI318" s="69">
        <f t="shared" ref="AI318:AI357" si="355">2*(M318*X318/100)</f>
        <v>15650.388000000001</v>
      </c>
      <c r="AJ318" s="69">
        <f t="shared" ref="AJ318:AJ357" si="356">2*(N318*Y318/100)</f>
        <v>20505.744000000002</v>
      </c>
      <c r="AK318" s="69">
        <f>2*(O318*Z318/100)</f>
        <v>27711.002</v>
      </c>
      <c r="AL318" s="69">
        <f>2*(P318*AA318/100)</f>
        <v>28032.774000000005</v>
      </c>
      <c r="AN318" s="195" t="s">
        <v>7</v>
      </c>
      <c r="AO318" s="98">
        <f t="shared" ref="AO318:AW318" si="357">H318/H318</f>
        <v>1</v>
      </c>
      <c r="AP318" s="98">
        <f t="shared" si="357"/>
        <v>1</v>
      </c>
      <c r="AQ318" s="98">
        <f t="shared" si="357"/>
        <v>1</v>
      </c>
      <c r="AR318" s="98">
        <f t="shared" si="357"/>
        <v>1</v>
      </c>
      <c r="AS318" s="98">
        <f t="shared" si="357"/>
        <v>1</v>
      </c>
      <c r="AT318" s="98">
        <f t="shared" si="357"/>
        <v>1</v>
      </c>
      <c r="AU318" s="98">
        <f t="shared" si="357"/>
        <v>1</v>
      </c>
      <c r="AV318" s="98">
        <f t="shared" si="357"/>
        <v>1</v>
      </c>
      <c r="AW318" s="98">
        <f t="shared" si="357"/>
        <v>1</v>
      </c>
      <c r="AX318" s="191"/>
      <c r="AY318" s="195" t="s">
        <v>7</v>
      </c>
      <c r="AZ318" s="178">
        <f t="shared" ref="AZ318:AZ357" si="358">2*(S318*AO318/100)</f>
        <v>1.2E-2</v>
      </c>
      <c r="BA318" s="178">
        <f t="shared" ref="BA318:BA357" si="359">2*(T318*AP318/100)</f>
        <v>1.2E-2</v>
      </c>
      <c r="BB318" s="178">
        <f t="shared" ref="BB318:BB357" si="360">2*(U318*AQ318/100)</f>
        <v>1.2E-2</v>
      </c>
      <c r="BC318" s="178">
        <f t="shared" ref="BC318:BC357" si="361">2*(V318*AR318/100)</f>
        <v>1.3999999999999999E-2</v>
      </c>
      <c r="BD318" s="178">
        <f t="shared" ref="BD318:BD357" si="362">2*(W318*AS318/100)</f>
        <v>1.2E-2</v>
      </c>
      <c r="BE318" s="178">
        <f t="shared" ref="BE318:BE357" si="363">2*(X318*AT318/100)</f>
        <v>1.2E-2</v>
      </c>
      <c r="BF318" s="178">
        <f t="shared" ref="BF318:BF357" si="364">2*(Y318*AU318/100)</f>
        <v>1.6E-2</v>
      </c>
      <c r="BG318" s="178">
        <f t="shared" ref="BG318:BG357" si="365">2*(Z318*AV318/100)</f>
        <v>2.2000000000000002E-2</v>
      </c>
      <c r="BH318" s="178">
        <f t="shared" ref="BH318:BH357" si="366">2*(AA318*AW318/100)</f>
        <v>2.2000000000000002E-2</v>
      </c>
      <c r="BI318" s="191"/>
      <c r="BJ318" s="191"/>
      <c r="BK318" s="191"/>
      <c r="BL318" s="191"/>
      <c r="BM318" s="191"/>
      <c r="BN318" s="191"/>
      <c r="BO318" s="191"/>
      <c r="BP318" s="191"/>
    </row>
    <row r="319" spans="2:68" s="108" customFormat="1" x14ac:dyDescent="0.25">
      <c r="B319" s="107"/>
      <c r="E319" s="109" t="s">
        <v>0</v>
      </c>
      <c r="F319" s="110" t="s">
        <v>64</v>
      </c>
      <c r="G319" s="111" t="s">
        <v>54</v>
      </c>
      <c r="H319" s="112">
        <v>205459</v>
      </c>
      <c r="I319" s="112">
        <v>176428</v>
      </c>
      <c r="J319" s="112">
        <v>141503</v>
      </c>
      <c r="K319" s="112">
        <v>125464</v>
      </c>
      <c r="L319" s="112">
        <v>118293</v>
      </c>
      <c r="M319" s="112">
        <v>83475</v>
      </c>
      <c r="N319" s="112">
        <v>84255</v>
      </c>
      <c r="O319" s="112">
        <v>81092</v>
      </c>
      <c r="P319" s="112">
        <v>79151</v>
      </c>
      <c r="R319" s="111" t="s">
        <v>54</v>
      </c>
      <c r="S319" s="220">
        <v>5</v>
      </c>
      <c r="T319" s="220">
        <v>5.9</v>
      </c>
      <c r="U319" s="220">
        <v>6.6</v>
      </c>
      <c r="V319" s="220">
        <v>7.1</v>
      </c>
      <c r="W319" s="220">
        <v>8.4</v>
      </c>
      <c r="X319" s="220">
        <v>10.5</v>
      </c>
      <c r="Y319" s="220">
        <v>10.7</v>
      </c>
      <c r="Z319" s="220">
        <v>11.5</v>
      </c>
      <c r="AA319" s="220">
        <v>12.1</v>
      </c>
      <c r="AC319" s="111" t="s">
        <v>54</v>
      </c>
      <c r="AD319" s="112">
        <f>2*(H319*S319/100)</f>
        <v>20545.900000000001</v>
      </c>
      <c r="AE319" s="112">
        <f t="shared" si="351"/>
        <v>20818.504000000001</v>
      </c>
      <c r="AF319" s="112">
        <f t="shared" si="352"/>
        <v>18678.395999999997</v>
      </c>
      <c r="AG319" s="112">
        <f t="shared" si="353"/>
        <v>17815.887999999999</v>
      </c>
      <c r="AH319" s="112">
        <f t="shared" si="354"/>
        <v>19873.224000000002</v>
      </c>
      <c r="AI319" s="112">
        <f t="shared" si="355"/>
        <v>17529.75</v>
      </c>
      <c r="AJ319" s="112">
        <f t="shared" si="356"/>
        <v>18030.569999999996</v>
      </c>
      <c r="AK319" s="112">
        <f t="shared" ref="AK319:AK357" si="367">2*(O319*Z319/100)</f>
        <v>18651.16</v>
      </c>
      <c r="AL319" s="112">
        <f t="shared" ref="AL319:AL357" si="368">2*(P319*AA319/100)</f>
        <v>19154.542000000001</v>
      </c>
      <c r="AN319" s="111" t="s">
        <v>54</v>
      </c>
      <c r="AO319" s="113">
        <f t="shared" ref="AO319:AW319" si="369">H319/H318</f>
        <v>0.16626111359720852</v>
      </c>
      <c r="AP319" s="113">
        <f t="shared" si="369"/>
        <v>0.13677638826545604</v>
      </c>
      <c r="AQ319" s="113">
        <f t="shared" si="369"/>
        <v>0.10717764450497097</v>
      </c>
      <c r="AR319" s="113">
        <f t="shared" si="369"/>
        <v>9.2866886897126522E-2</v>
      </c>
      <c r="AS319" s="113">
        <f t="shared" si="369"/>
        <v>8.8197203617865053E-2</v>
      </c>
      <c r="AT319" s="113">
        <f t="shared" si="369"/>
        <v>6.4004802948016373E-2</v>
      </c>
      <c r="AU319" s="113">
        <f t="shared" si="369"/>
        <v>6.5741579530106301E-2</v>
      </c>
      <c r="AV319" s="113">
        <f t="shared" si="369"/>
        <v>6.4379627990355598E-2</v>
      </c>
      <c r="AW319" s="113">
        <f t="shared" si="369"/>
        <v>6.2117363055115414E-2</v>
      </c>
      <c r="AY319" s="111" t="s">
        <v>54</v>
      </c>
      <c r="AZ319" s="179">
        <f t="shared" si="358"/>
        <v>1.6626111359720853E-2</v>
      </c>
      <c r="BA319" s="179">
        <f t="shared" si="359"/>
        <v>1.6139613815323816E-2</v>
      </c>
      <c r="BB319" s="179">
        <f t="shared" si="360"/>
        <v>1.4147449074656166E-2</v>
      </c>
      <c r="BC319" s="179">
        <f t="shared" si="361"/>
        <v>1.3187097939391965E-2</v>
      </c>
      <c r="BD319" s="179">
        <f t="shared" si="362"/>
        <v>1.481713020780133E-2</v>
      </c>
      <c r="BE319" s="179">
        <f t="shared" si="363"/>
        <v>1.3441008619083438E-2</v>
      </c>
      <c r="BF319" s="179">
        <f t="shared" si="364"/>
        <v>1.4068698019442747E-2</v>
      </c>
      <c r="BG319" s="179">
        <f t="shared" si="365"/>
        <v>1.4807314437781787E-2</v>
      </c>
      <c r="BH319" s="179">
        <f t="shared" si="366"/>
        <v>1.503240185933793E-2</v>
      </c>
    </row>
    <row r="320" spans="2:68" s="108" customFormat="1" x14ac:dyDescent="0.25">
      <c r="B320" s="107"/>
      <c r="E320" s="109" t="s">
        <v>0</v>
      </c>
      <c r="F320" s="110" t="s">
        <v>64</v>
      </c>
      <c r="G320" s="111" t="s">
        <v>55</v>
      </c>
      <c r="H320" s="70">
        <v>34427</v>
      </c>
      <c r="I320" s="70">
        <v>25615</v>
      </c>
      <c r="J320" s="112">
        <v>27786</v>
      </c>
      <c r="K320" s="112">
        <v>23660</v>
      </c>
      <c r="L320" s="112">
        <v>18206</v>
      </c>
      <c r="M320" s="112">
        <v>13357</v>
      </c>
      <c r="N320" s="112">
        <v>14913</v>
      </c>
      <c r="O320" s="112" t="s">
        <v>129</v>
      </c>
      <c r="P320" s="112" t="s">
        <v>129</v>
      </c>
      <c r="R320" s="111" t="s">
        <v>55</v>
      </c>
      <c r="S320" s="81">
        <v>13.8</v>
      </c>
      <c r="T320" s="81">
        <v>15.2</v>
      </c>
      <c r="U320" s="81">
        <v>15.4</v>
      </c>
      <c r="V320" s="81">
        <v>16.100000000000001</v>
      </c>
      <c r="W320" s="81">
        <v>20.7</v>
      </c>
      <c r="X320" s="81">
        <v>27.3</v>
      </c>
      <c r="Y320" s="81">
        <v>26.1</v>
      </c>
      <c r="Z320" s="81"/>
      <c r="AA320" s="81"/>
      <c r="AC320" s="111" t="s">
        <v>55</v>
      </c>
      <c r="AD320" s="70">
        <f t="shared" ref="AD320:AD357" si="370">2*(H320*S320/100)</f>
        <v>9501.8520000000008</v>
      </c>
      <c r="AE320" s="70">
        <f t="shared" si="351"/>
        <v>7786.96</v>
      </c>
      <c r="AF320" s="70">
        <f t="shared" si="352"/>
        <v>8558.0879999999997</v>
      </c>
      <c r="AG320" s="70">
        <f t="shared" si="353"/>
        <v>7618.5200000000013</v>
      </c>
      <c r="AH320" s="70">
        <f t="shared" si="354"/>
        <v>7537.2840000000006</v>
      </c>
      <c r="AI320" s="70">
        <f t="shared" si="355"/>
        <v>7292.9220000000005</v>
      </c>
      <c r="AJ320" s="70">
        <f t="shared" si="356"/>
        <v>7784.5860000000011</v>
      </c>
      <c r="AK320" s="70" t="e">
        <f t="shared" si="367"/>
        <v>#VALUE!</v>
      </c>
      <c r="AL320" s="70" t="e">
        <f t="shared" si="368"/>
        <v>#VALUE!</v>
      </c>
      <c r="AN320" s="111" t="s">
        <v>55</v>
      </c>
      <c r="AO320" s="113">
        <f t="shared" ref="AO320:AW320" si="371">H320/H318</f>
        <v>2.7858946835189004E-2</v>
      </c>
      <c r="AP320" s="113">
        <f t="shared" si="371"/>
        <v>1.9858113142016326E-2</v>
      </c>
      <c r="AQ320" s="113">
        <f t="shared" si="371"/>
        <v>2.1045758960694286E-2</v>
      </c>
      <c r="AR320" s="113">
        <f t="shared" si="371"/>
        <v>1.7512836702050099E-2</v>
      </c>
      <c r="AS320" s="113">
        <f t="shared" si="371"/>
        <v>1.3574076987369085E-2</v>
      </c>
      <c r="AT320" s="113">
        <f t="shared" si="371"/>
        <v>1.0241535225835935E-2</v>
      </c>
      <c r="AU320" s="113">
        <f t="shared" si="371"/>
        <v>1.1636154240489884E-2</v>
      </c>
      <c r="AV320" s="113" t="e">
        <f t="shared" si="371"/>
        <v>#VALUE!</v>
      </c>
      <c r="AW320" s="113" t="e">
        <f t="shared" si="371"/>
        <v>#VALUE!</v>
      </c>
      <c r="AY320" s="111" t="s">
        <v>55</v>
      </c>
      <c r="AZ320" s="179">
        <f t="shared" si="358"/>
        <v>7.689069326512166E-3</v>
      </c>
      <c r="BA320" s="179">
        <f t="shared" si="359"/>
        <v>6.036866395172963E-3</v>
      </c>
      <c r="BB320" s="179">
        <f t="shared" si="360"/>
        <v>6.4820937598938401E-3</v>
      </c>
      <c r="BC320" s="179">
        <f t="shared" si="361"/>
        <v>5.6391334180601327E-3</v>
      </c>
      <c r="BD320" s="179">
        <f t="shared" si="362"/>
        <v>5.6196678727708001E-3</v>
      </c>
      <c r="BE320" s="179">
        <f t="shared" si="363"/>
        <v>5.59187823330642E-3</v>
      </c>
      <c r="BF320" s="179">
        <f t="shared" si="364"/>
        <v>6.0740725135357198E-3</v>
      </c>
      <c r="BG320" s="179" t="e">
        <f t="shared" si="365"/>
        <v>#VALUE!</v>
      </c>
      <c r="BH320" s="179" t="e">
        <f t="shared" si="366"/>
        <v>#VALUE!</v>
      </c>
    </row>
    <row r="321" spans="2:68" s="108" customFormat="1" x14ac:dyDescent="0.25">
      <c r="B321" s="107"/>
      <c r="E321" s="109" t="s">
        <v>0</v>
      </c>
      <c r="F321" s="110" t="s">
        <v>64</v>
      </c>
      <c r="G321" s="111" t="s">
        <v>130</v>
      </c>
      <c r="H321" s="70">
        <v>141354</v>
      </c>
      <c r="I321" s="70">
        <v>133323</v>
      </c>
      <c r="J321" s="70">
        <v>108221</v>
      </c>
      <c r="K321" s="70">
        <v>111135</v>
      </c>
      <c r="L321" s="70">
        <v>96879</v>
      </c>
      <c r="M321" s="70">
        <v>75979</v>
      </c>
      <c r="N321" s="70">
        <v>81926</v>
      </c>
      <c r="O321" s="112">
        <v>42104</v>
      </c>
      <c r="P321" s="112">
        <v>57636</v>
      </c>
      <c r="R321" s="111" t="s">
        <v>130</v>
      </c>
      <c r="S321" s="220">
        <v>6.5</v>
      </c>
      <c r="T321" s="220">
        <v>6.5</v>
      </c>
      <c r="U321" s="220">
        <v>7.5</v>
      </c>
      <c r="V321" s="220">
        <v>7.9</v>
      </c>
      <c r="W321" s="220">
        <v>8.6</v>
      </c>
      <c r="X321" s="220" t="s">
        <v>162</v>
      </c>
      <c r="Y321" s="220">
        <v>10.7</v>
      </c>
      <c r="Z321" s="220">
        <v>16.600000000000001</v>
      </c>
      <c r="AA321" s="220">
        <v>14.2</v>
      </c>
      <c r="AC321" s="111" t="s">
        <v>130</v>
      </c>
      <c r="AD321" s="70">
        <f t="shared" si="370"/>
        <v>18376.02</v>
      </c>
      <c r="AE321" s="70">
        <f t="shared" si="351"/>
        <v>17331.990000000002</v>
      </c>
      <c r="AF321" s="70">
        <f t="shared" si="352"/>
        <v>16233.15</v>
      </c>
      <c r="AG321" s="70">
        <f t="shared" si="353"/>
        <v>17559.330000000002</v>
      </c>
      <c r="AH321" s="70">
        <f t="shared" si="354"/>
        <v>16663.188000000002</v>
      </c>
      <c r="AI321" s="70" t="e">
        <f t="shared" si="355"/>
        <v>#VALUE!</v>
      </c>
      <c r="AJ321" s="70">
        <f t="shared" si="356"/>
        <v>17532.164000000001</v>
      </c>
      <c r="AK321" s="70">
        <f t="shared" si="367"/>
        <v>13978.528</v>
      </c>
      <c r="AL321" s="70">
        <f t="shared" si="368"/>
        <v>16368.624</v>
      </c>
      <c r="AN321" s="111" t="s">
        <v>130</v>
      </c>
      <c r="AO321" s="113">
        <f t="shared" ref="AO321:AW321" si="372">H321/H318</f>
        <v>0.11438619603628856</v>
      </c>
      <c r="AP321" s="113">
        <f t="shared" si="372"/>
        <v>0.10335909500031398</v>
      </c>
      <c r="AQ321" s="113">
        <f t="shared" si="372"/>
        <v>8.1969088047408628E-2</v>
      </c>
      <c r="AR321" s="113">
        <f t="shared" si="372"/>
        <v>8.2260739935855351E-2</v>
      </c>
      <c r="AS321" s="113">
        <f t="shared" si="372"/>
        <v>7.2231297619429286E-2</v>
      </c>
      <c r="AT321" s="113">
        <f t="shared" si="372"/>
        <v>5.8257213814762933E-2</v>
      </c>
      <c r="AU321" s="113">
        <f t="shared" si="372"/>
        <v>6.3924332616265955E-2</v>
      </c>
      <c r="AV321" s="113">
        <f t="shared" si="372"/>
        <v>3.3426723436417061E-2</v>
      </c>
      <c r="AW321" s="113">
        <f t="shared" si="372"/>
        <v>4.5232483948966305E-2</v>
      </c>
      <c r="AY321" s="111" t="s">
        <v>130</v>
      </c>
      <c r="AZ321" s="179">
        <f t="shared" si="358"/>
        <v>1.4870205484717514E-2</v>
      </c>
      <c r="BA321" s="179">
        <f t="shared" si="359"/>
        <v>1.3436682350040818E-2</v>
      </c>
      <c r="BB321" s="179">
        <f t="shared" si="360"/>
        <v>1.2295363207111294E-2</v>
      </c>
      <c r="BC321" s="179">
        <f t="shared" si="361"/>
        <v>1.2997196909865146E-2</v>
      </c>
      <c r="BD321" s="179">
        <f t="shared" si="362"/>
        <v>1.2423783190541837E-2</v>
      </c>
      <c r="BE321" s="179" t="e">
        <f t="shared" si="363"/>
        <v>#VALUE!</v>
      </c>
      <c r="BF321" s="179">
        <f t="shared" si="364"/>
        <v>1.3679807179880914E-2</v>
      </c>
      <c r="BG321" s="179">
        <f t="shared" si="365"/>
        <v>1.1097672180890465E-2</v>
      </c>
      <c r="BH321" s="179">
        <f t="shared" si="366"/>
        <v>1.2846025441506431E-2</v>
      </c>
    </row>
    <row r="322" spans="2:68" s="108" customFormat="1" x14ac:dyDescent="0.25">
      <c r="B322" s="107"/>
      <c r="E322" s="109" t="s">
        <v>0</v>
      </c>
      <c r="F322" s="110" t="s">
        <v>64</v>
      </c>
      <c r="G322" s="111" t="s">
        <v>131</v>
      </c>
      <c r="H322" s="112">
        <v>854320</v>
      </c>
      <c r="I322" s="112">
        <v>954536</v>
      </c>
      <c r="J322" s="112">
        <v>1042756</v>
      </c>
      <c r="K322" s="112">
        <v>1090750</v>
      </c>
      <c r="L322" s="112">
        <v>1107855</v>
      </c>
      <c r="M322" s="112">
        <v>1131388</v>
      </c>
      <c r="N322" s="112">
        <v>1100515</v>
      </c>
      <c r="O322" s="112">
        <v>1127838</v>
      </c>
      <c r="P322" s="112">
        <v>1132250</v>
      </c>
      <c r="R322" s="111" t="s">
        <v>131</v>
      </c>
      <c r="S322" s="220">
        <v>2</v>
      </c>
      <c r="T322" s="220">
        <v>1.5</v>
      </c>
      <c r="U322" s="220">
        <v>1.3</v>
      </c>
      <c r="V322" s="220">
        <v>1.4</v>
      </c>
      <c r="W322" s="220">
        <v>1.1000000000000001</v>
      </c>
      <c r="X322" s="220">
        <v>3</v>
      </c>
      <c r="Y322" s="220">
        <v>1.7</v>
      </c>
      <c r="Z322" s="220">
        <v>1.1000000000000001</v>
      </c>
      <c r="AA322" s="220">
        <v>1.9</v>
      </c>
      <c r="AC322" s="111" t="s">
        <v>131</v>
      </c>
      <c r="AD322" s="112">
        <f t="shared" si="370"/>
        <v>34172.800000000003</v>
      </c>
      <c r="AE322" s="112">
        <f t="shared" si="351"/>
        <v>28636.080000000002</v>
      </c>
      <c r="AF322" s="112">
        <f t="shared" si="352"/>
        <v>27111.656000000003</v>
      </c>
      <c r="AG322" s="112">
        <f t="shared" si="353"/>
        <v>30541</v>
      </c>
      <c r="AH322" s="112">
        <f t="shared" si="354"/>
        <v>24372.81</v>
      </c>
      <c r="AI322" s="112">
        <f t="shared" si="355"/>
        <v>67883.28</v>
      </c>
      <c r="AJ322" s="112">
        <f t="shared" si="356"/>
        <v>37417.51</v>
      </c>
      <c r="AK322" s="112">
        <f t="shared" si="367"/>
        <v>24812.436000000002</v>
      </c>
      <c r="AL322" s="112">
        <f t="shared" si="368"/>
        <v>43025.5</v>
      </c>
      <c r="AN322" s="111" t="s">
        <v>131</v>
      </c>
      <c r="AO322" s="113">
        <f t="shared" ref="AO322:AW322" si="373">H322/H318</f>
        <v>0.69133109072061671</v>
      </c>
      <c r="AP322" s="113">
        <f t="shared" si="373"/>
        <v>0.74000717884550826</v>
      </c>
      <c r="AQ322" s="113">
        <f t="shared" si="373"/>
        <v>0.78980750848692616</v>
      </c>
      <c r="AR322" s="113">
        <f t="shared" si="373"/>
        <v>0.80735953646496805</v>
      </c>
      <c r="AS322" s="113">
        <f t="shared" si="373"/>
        <v>0.82599742177533653</v>
      </c>
      <c r="AT322" s="113">
        <f t="shared" si="373"/>
        <v>0.86749644801138481</v>
      </c>
      <c r="AU322" s="113">
        <f t="shared" si="373"/>
        <v>0.85869793361313784</v>
      </c>
      <c r="AV322" s="113">
        <f t="shared" si="373"/>
        <v>0.89540017354839785</v>
      </c>
      <c r="AW322" s="113">
        <f t="shared" si="373"/>
        <v>0.88858491136125162</v>
      </c>
      <c r="AY322" s="111" t="s">
        <v>131</v>
      </c>
      <c r="AZ322" s="179">
        <f t="shared" si="358"/>
        <v>2.7653243628824667E-2</v>
      </c>
      <c r="BA322" s="179">
        <f t="shared" si="359"/>
        <v>2.2200215365365247E-2</v>
      </c>
      <c r="BB322" s="179">
        <f t="shared" si="360"/>
        <v>2.0534995220660081E-2</v>
      </c>
      <c r="BC322" s="179">
        <f t="shared" si="361"/>
        <v>2.2606067021019104E-2</v>
      </c>
      <c r="BD322" s="179">
        <f t="shared" si="362"/>
        <v>1.8171943279057405E-2</v>
      </c>
      <c r="BE322" s="179">
        <f t="shared" si="363"/>
        <v>5.204978688068309E-2</v>
      </c>
      <c r="BF322" s="179">
        <f t="shared" si="364"/>
        <v>2.9195729742846687E-2</v>
      </c>
      <c r="BG322" s="179">
        <f t="shared" si="365"/>
        <v>1.9698803818064756E-2</v>
      </c>
      <c r="BH322" s="179">
        <f t="shared" si="366"/>
        <v>3.3766226631727563E-2</v>
      </c>
    </row>
    <row r="323" spans="2:68" s="87" customFormat="1" x14ac:dyDescent="0.25">
      <c r="B323" s="84"/>
      <c r="C323" s="85"/>
      <c r="D323" s="85"/>
      <c r="E323" s="109" t="s">
        <v>1</v>
      </c>
      <c r="F323" s="110" t="s">
        <v>64</v>
      </c>
      <c r="G323" s="195" t="s">
        <v>7</v>
      </c>
      <c r="H323" s="69">
        <v>1570414</v>
      </c>
      <c r="I323" s="69">
        <v>1606538</v>
      </c>
      <c r="J323" s="69">
        <v>1667518</v>
      </c>
      <c r="K323" s="69">
        <v>1715640</v>
      </c>
      <c r="L323" s="69">
        <v>1773765</v>
      </c>
      <c r="M323" s="69">
        <v>1844618</v>
      </c>
      <c r="N323" s="69">
        <v>1875464</v>
      </c>
      <c r="O323" s="69">
        <v>1793978</v>
      </c>
      <c r="P323" s="69">
        <v>1861128</v>
      </c>
      <c r="R323" s="195" t="s">
        <v>7</v>
      </c>
      <c r="S323" s="226">
        <v>0.6</v>
      </c>
      <c r="T323" s="226">
        <v>0.6</v>
      </c>
      <c r="U323" s="226">
        <v>0.5</v>
      </c>
      <c r="V323" s="226">
        <v>0.6</v>
      </c>
      <c r="W323" s="226">
        <v>0.6</v>
      </c>
      <c r="X323" s="226">
        <v>0.7</v>
      </c>
      <c r="Y323" s="226">
        <v>0.7</v>
      </c>
      <c r="Z323" s="226">
        <v>0.9</v>
      </c>
      <c r="AA323" s="226">
        <v>0.9</v>
      </c>
      <c r="AC323" s="195" t="s">
        <v>7</v>
      </c>
      <c r="AD323" s="69">
        <f t="shared" si="370"/>
        <v>18844.968000000001</v>
      </c>
      <c r="AE323" s="69">
        <f t="shared" si="351"/>
        <v>19278.455999999998</v>
      </c>
      <c r="AF323" s="69">
        <f t="shared" si="352"/>
        <v>16675.18</v>
      </c>
      <c r="AG323" s="69">
        <f t="shared" si="353"/>
        <v>20587.68</v>
      </c>
      <c r="AH323" s="69">
        <f t="shared" si="354"/>
        <v>21285.18</v>
      </c>
      <c r="AI323" s="69">
        <f t="shared" si="355"/>
        <v>25824.651999999998</v>
      </c>
      <c r="AJ323" s="69">
        <f t="shared" si="356"/>
        <v>26256.495999999996</v>
      </c>
      <c r="AK323" s="69">
        <f t="shared" si="367"/>
        <v>32291.603999999999</v>
      </c>
      <c r="AL323" s="69">
        <f t="shared" si="368"/>
        <v>33500.303999999996</v>
      </c>
      <c r="AN323" s="195" t="s">
        <v>7</v>
      </c>
      <c r="AO323" s="98">
        <f t="shared" ref="AO323:AW323" si="374">H323/H323</f>
        <v>1</v>
      </c>
      <c r="AP323" s="98">
        <f t="shared" si="374"/>
        <v>1</v>
      </c>
      <c r="AQ323" s="98">
        <f t="shared" si="374"/>
        <v>1</v>
      </c>
      <c r="AR323" s="98">
        <f t="shared" si="374"/>
        <v>1</v>
      </c>
      <c r="AS323" s="98">
        <f t="shared" si="374"/>
        <v>1</v>
      </c>
      <c r="AT323" s="98">
        <f t="shared" si="374"/>
        <v>1</v>
      </c>
      <c r="AU323" s="98">
        <f t="shared" si="374"/>
        <v>1</v>
      </c>
      <c r="AV323" s="98">
        <f t="shared" si="374"/>
        <v>1</v>
      </c>
      <c r="AW323" s="98">
        <f t="shared" si="374"/>
        <v>1</v>
      </c>
      <c r="AX323" s="191"/>
      <c r="AY323" s="195" t="s">
        <v>7</v>
      </c>
      <c r="AZ323" s="178">
        <f t="shared" si="358"/>
        <v>1.2E-2</v>
      </c>
      <c r="BA323" s="178">
        <f t="shared" si="359"/>
        <v>1.2E-2</v>
      </c>
      <c r="BB323" s="178">
        <f t="shared" si="360"/>
        <v>0.01</v>
      </c>
      <c r="BC323" s="178">
        <f t="shared" si="361"/>
        <v>1.2E-2</v>
      </c>
      <c r="BD323" s="178">
        <f t="shared" si="362"/>
        <v>1.2E-2</v>
      </c>
      <c r="BE323" s="178">
        <f t="shared" si="363"/>
        <v>1.3999999999999999E-2</v>
      </c>
      <c r="BF323" s="178">
        <f t="shared" si="364"/>
        <v>1.3999999999999999E-2</v>
      </c>
      <c r="BG323" s="178">
        <f t="shared" si="365"/>
        <v>1.8000000000000002E-2</v>
      </c>
      <c r="BH323" s="178">
        <f t="shared" si="366"/>
        <v>1.8000000000000002E-2</v>
      </c>
      <c r="BI323" s="191"/>
      <c r="BJ323" s="191"/>
      <c r="BK323" s="191"/>
      <c r="BL323" s="191"/>
      <c r="BM323" s="191"/>
      <c r="BN323" s="191"/>
      <c r="BO323" s="191"/>
      <c r="BP323" s="191"/>
    </row>
    <row r="324" spans="2:68" s="108" customFormat="1" x14ac:dyDescent="0.25">
      <c r="B324" s="107"/>
      <c r="E324" s="109" t="s">
        <v>1</v>
      </c>
      <c r="F324" s="110" t="s">
        <v>64</v>
      </c>
      <c r="G324" s="111" t="s">
        <v>54</v>
      </c>
      <c r="H324" s="112">
        <v>517288</v>
      </c>
      <c r="I324" s="112">
        <v>505809</v>
      </c>
      <c r="J324" s="112">
        <v>495755</v>
      </c>
      <c r="K324" s="112">
        <v>521148</v>
      </c>
      <c r="L324" s="112">
        <v>460547</v>
      </c>
      <c r="M324" s="112">
        <v>475442</v>
      </c>
      <c r="N324" s="112">
        <v>447634</v>
      </c>
      <c r="O324" s="112">
        <v>367216</v>
      </c>
      <c r="P324" s="112">
        <v>339366</v>
      </c>
      <c r="R324" s="111" t="s">
        <v>54</v>
      </c>
      <c r="S324" s="220">
        <v>2.9</v>
      </c>
      <c r="T324" s="220">
        <v>2.9</v>
      </c>
      <c r="U324" s="220">
        <v>3</v>
      </c>
      <c r="V324" s="220">
        <v>2.5</v>
      </c>
      <c r="W324" s="220">
        <v>3.6</v>
      </c>
      <c r="X324" s="220">
        <v>4</v>
      </c>
      <c r="Y324" s="220">
        <v>4.4000000000000004</v>
      </c>
      <c r="Z324" s="220">
        <v>5.0999999999999996</v>
      </c>
      <c r="AA324" s="220">
        <v>5.7</v>
      </c>
      <c r="AC324" s="111" t="s">
        <v>54</v>
      </c>
      <c r="AD324" s="112">
        <f t="shared" si="370"/>
        <v>30002.703999999998</v>
      </c>
      <c r="AE324" s="112">
        <f t="shared" si="351"/>
        <v>29336.921999999999</v>
      </c>
      <c r="AF324" s="112">
        <f t="shared" si="352"/>
        <v>29745.3</v>
      </c>
      <c r="AG324" s="112">
        <f t="shared" si="353"/>
        <v>26057.4</v>
      </c>
      <c r="AH324" s="112">
        <f t="shared" si="354"/>
        <v>33159.383999999998</v>
      </c>
      <c r="AI324" s="112">
        <f t="shared" si="355"/>
        <v>38035.360000000001</v>
      </c>
      <c r="AJ324" s="112">
        <f t="shared" si="356"/>
        <v>39391.792000000001</v>
      </c>
      <c r="AK324" s="112">
        <f t="shared" si="367"/>
        <v>37456.031999999999</v>
      </c>
      <c r="AL324" s="112">
        <f t="shared" si="368"/>
        <v>38687.724000000002</v>
      </c>
      <c r="AN324" s="111" t="s">
        <v>54</v>
      </c>
      <c r="AO324" s="113">
        <f t="shared" ref="AO324:AW324" si="375">H324/H323</f>
        <v>0.32939594272593087</v>
      </c>
      <c r="AP324" s="113">
        <f t="shared" si="375"/>
        <v>0.3148440933236562</v>
      </c>
      <c r="AQ324" s="113">
        <f t="shared" si="375"/>
        <v>0.29730113857841417</v>
      </c>
      <c r="AR324" s="113">
        <f t="shared" si="375"/>
        <v>0.30376302720850529</v>
      </c>
      <c r="AS324" s="113">
        <f t="shared" si="375"/>
        <v>0.25964375213176494</v>
      </c>
      <c r="AT324" s="113">
        <f t="shared" si="375"/>
        <v>0.25774550611562935</v>
      </c>
      <c r="AU324" s="113">
        <f t="shared" si="375"/>
        <v>0.23867906821991786</v>
      </c>
      <c r="AV324" s="113">
        <f t="shared" si="375"/>
        <v>0.20469370304429596</v>
      </c>
      <c r="AW324" s="113">
        <f t="shared" si="375"/>
        <v>0.18234425574167923</v>
      </c>
      <c r="AY324" s="111" t="s">
        <v>54</v>
      </c>
      <c r="AZ324" s="179">
        <f t="shared" si="358"/>
        <v>1.9104964678103992E-2</v>
      </c>
      <c r="BA324" s="179">
        <f t="shared" si="359"/>
        <v>1.8260957412772057E-2</v>
      </c>
      <c r="BB324" s="179">
        <f t="shared" si="360"/>
        <v>1.7838068314704851E-2</v>
      </c>
      <c r="BC324" s="179">
        <f t="shared" si="361"/>
        <v>1.5188151360425263E-2</v>
      </c>
      <c r="BD324" s="179">
        <f t="shared" si="362"/>
        <v>1.8694350153487076E-2</v>
      </c>
      <c r="BE324" s="179">
        <f t="shared" si="363"/>
        <v>2.0619640489250347E-2</v>
      </c>
      <c r="BF324" s="179">
        <f t="shared" si="364"/>
        <v>2.1003758003352774E-2</v>
      </c>
      <c r="BG324" s="179">
        <f t="shared" si="365"/>
        <v>2.0878757710518187E-2</v>
      </c>
      <c r="BH324" s="179">
        <f t="shared" si="366"/>
        <v>2.0787245154551433E-2</v>
      </c>
    </row>
    <row r="325" spans="2:68" s="108" customFormat="1" x14ac:dyDescent="0.25">
      <c r="B325" s="107"/>
      <c r="E325" s="109" t="s">
        <v>1</v>
      </c>
      <c r="F325" s="110" t="s">
        <v>64</v>
      </c>
      <c r="G325" s="111" t="s">
        <v>55</v>
      </c>
      <c r="H325" s="70">
        <v>197108</v>
      </c>
      <c r="I325" s="70">
        <v>205475</v>
      </c>
      <c r="J325" s="70">
        <v>203159</v>
      </c>
      <c r="K325" s="70">
        <v>223908</v>
      </c>
      <c r="L325" s="70">
        <v>162272</v>
      </c>
      <c r="M325" s="70">
        <v>185166</v>
      </c>
      <c r="N325" s="70">
        <v>163720</v>
      </c>
      <c r="O325" s="112">
        <v>135086</v>
      </c>
      <c r="P325" s="112">
        <v>112821</v>
      </c>
      <c r="R325" s="111" t="s">
        <v>55</v>
      </c>
      <c r="S325" s="81">
        <v>5.9</v>
      </c>
      <c r="T325" s="81">
        <v>5.0999999999999996</v>
      </c>
      <c r="U325" s="81">
        <v>5.2</v>
      </c>
      <c r="V325" s="81">
        <v>5.5</v>
      </c>
      <c r="W325" s="81">
        <v>7</v>
      </c>
      <c r="X325" s="81">
        <v>7.7</v>
      </c>
      <c r="Y325" s="81">
        <v>7.8</v>
      </c>
      <c r="Z325" s="81">
        <v>9.1999999999999993</v>
      </c>
      <c r="AA325" s="81">
        <v>10.5</v>
      </c>
      <c r="AC325" s="111" t="s">
        <v>55</v>
      </c>
      <c r="AD325" s="70">
        <f t="shared" si="370"/>
        <v>23258.744000000002</v>
      </c>
      <c r="AE325" s="70">
        <f t="shared" si="351"/>
        <v>20958.449999999997</v>
      </c>
      <c r="AF325" s="70">
        <f t="shared" si="352"/>
        <v>21128.536</v>
      </c>
      <c r="AG325" s="70">
        <f t="shared" si="353"/>
        <v>24629.88</v>
      </c>
      <c r="AH325" s="70">
        <f t="shared" si="354"/>
        <v>22718.080000000002</v>
      </c>
      <c r="AI325" s="70">
        <f t="shared" si="355"/>
        <v>28515.563999999998</v>
      </c>
      <c r="AJ325" s="70">
        <f t="shared" si="356"/>
        <v>25540.32</v>
      </c>
      <c r="AK325" s="70">
        <f t="shared" si="367"/>
        <v>24855.824000000001</v>
      </c>
      <c r="AL325" s="70">
        <f t="shared" si="368"/>
        <v>23692.41</v>
      </c>
      <c r="AN325" s="111" t="s">
        <v>55</v>
      </c>
      <c r="AO325" s="113">
        <f t="shared" ref="AO325:AW325" si="376">H325/H323</f>
        <v>0.12551339965130215</v>
      </c>
      <c r="AP325" s="113">
        <f t="shared" si="376"/>
        <v>0.12789924670315922</v>
      </c>
      <c r="AQ325" s="113">
        <f t="shared" si="376"/>
        <v>0.12183316761798074</v>
      </c>
      <c r="AR325" s="113">
        <f t="shared" si="376"/>
        <v>0.13050989718122682</v>
      </c>
      <c r="AS325" s="113">
        <f t="shared" si="376"/>
        <v>9.1484497664572256E-2</v>
      </c>
      <c r="AT325" s="113">
        <f t="shared" si="376"/>
        <v>0.10038175925855651</v>
      </c>
      <c r="AU325" s="113">
        <f t="shared" si="376"/>
        <v>8.7295730549879921E-2</v>
      </c>
      <c r="AV325" s="113">
        <f t="shared" si="376"/>
        <v>7.529969709773475E-2</v>
      </c>
      <c r="AW325" s="113">
        <f t="shared" si="376"/>
        <v>6.0619688704914437E-2</v>
      </c>
      <c r="AY325" s="111" t="s">
        <v>55</v>
      </c>
      <c r="AZ325" s="179">
        <f t="shared" si="358"/>
        <v>1.4810581158853656E-2</v>
      </c>
      <c r="BA325" s="179">
        <f t="shared" si="359"/>
        <v>1.3045723163722241E-2</v>
      </c>
      <c r="BB325" s="179">
        <f t="shared" si="360"/>
        <v>1.2670649432269998E-2</v>
      </c>
      <c r="BC325" s="179">
        <f t="shared" si="361"/>
        <v>1.4356088689934952E-2</v>
      </c>
      <c r="BD325" s="179">
        <f t="shared" si="362"/>
        <v>1.2807829673040116E-2</v>
      </c>
      <c r="BE325" s="179">
        <f t="shared" si="363"/>
        <v>1.5458790925817702E-2</v>
      </c>
      <c r="BF325" s="179">
        <f t="shared" si="364"/>
        <v>1.3618133965781267E-2</v>
      </c>
      <c r="BG325" s="179">
        <f t="shared" si="365"/>
        <v>1.3855144265983192E-2</v>
      </c>
      <c r="BH325" s="179">
        <f t="shared" si="366"/>
        <v>1.2730134628032033E-2</v>
      </c>
    </row>
    <row r="326" spans="2:68" s="108" customFormat="1" x14ac:dyDescent="0.25">
      <c r="B326" s="107"/>
      <c r="E326" s="109" t="s">
        <v>1</v>
      </c>
      <c r="F326" s="110" t="s">
        <v>64</v>
      </c>
      <c r="G326" s="111" t="s">
        <v>130</v>
      </c>
      <c r="H326" s="70">
        <v>223521</v>
      </c>
      <c r="I326" s="70">
        <v>236870</v>
      </c>
      <c r="J326" s="70">
        <v>236136</v>
      </c>
      <c r="K326" s="70">
        <v>225350</v>
      </c>
      <c r="L326" s="70">
        <v>250061</v>
      </c>
      <c r="M326" s="70">
        <v>267806</v>
      </c>
      <c r="N326" s="70">
        <v>288330</v>
      </c>
      <c r="O326" s="112">
        <v>257213</v>
      </c>
      <c r="P326" s="112">
        <v>257511</v>
      </c>
      <c r="R326" s="111" t="s">
        <v>130</v>
      </c>
      <c r="S326" s="220">
        <v>5.0999999999999996</v>
      </c>
      <c r="T326" s="220">
        <v>5</v>
      </c>
      <c r="U326" s="220">
        <v>5.2</v>
      </c>
      <c r="V326" s="220">
        <v>5.5</v>
      </c>
      <c r="W326" s="220">
        <v>5.3</v>
      </c>
      <c r="X326" s="220">
        <v>5.9</v>
      </c>
      <c r="Y326" s="220">
        <v>5.7</v>
      </c>
      <c r="Z326" s="220">
        <v>7.1</v>
      </c>
      <c r="AA326" s="220">
        <v>6.5</v>
      </c>
      <c r="AC326" s="111" t="s">
        <v>130</v>
      </c>
      <c r="AD326" s="70">
        <f t="shared" si="370"/>
        <v>22799.141999999996</v>
      </c>
      <c r="AE326" s="70">
        <f t="shared" si="351"/>
        <v>23687</v>
      </c>
      <c r="AF326" s="70">
        <f t="shared" si="352"/>
        <v>24558.144</v>
      </c>
      <c r="AG326" s="70">
        <f t="shared" si="353"/>
        <v>24788.5</v>
      </c>
      <c r="AH326" s="70">
        <f t="shared" si="354"/>
        <v>26506.466</v>
      </c>
      <c r="AI326" s="70">
        <f t="shared" si="355"/>
        <v>31601.108000000004</v>
      </c>
      <c r="AJ326" s="70">
        <f t="shared" si="356"/>
        <v>32869.620000000003</v>
      </c>
      <c r="AK326" s="70">
        <f t="shared" si="367"/>
        <v>36524.245999999999</v>
      </c>
      <c r="AL326" s="70">
        <f t="shared" si="368"/>
        <v>33476.43</v>
      </c>
      <c r="AN326" s="111" t="s">
        <v>130</v>
      </c>
      <c r="AO326" s="113">
        <f t="shared" ref="AO326:AW326" si="377">H326/H323</f>
        <v>0.14233253142165059</v>
      </c>
      <c r="AP326" s="113">
        <f t="shared" si="377"/>
        <v>0.1474412681181522</v>
      </c>
      <c r="AQ326" s="113">
        <f t="shared" si="377"/>
        <v>0.14160926598693388</v>
      </c>
      <c r="AR326" s="113">
        <f t="shared" si="377"/>
        <v>0.13135039985078456</v>
      </c>
      <c r="AS326" s="113">
        <f t="shared" si="377"/>
        <v>0.1409775252076797</v>
      </c>
      <c r="AT326" s="113">
        <f t="shared" si="377"/>
        <v>0.14518236296078646</v>
      </c>
      <c r="AU326" s="113">
        <f t="shared" si="377"/>
        <v>0.15373795498074078</v>
      </c>
      <c r="AV326" s="113">
        <f t="shared" si="377"/>
        <v>0.14337578275764809</v>
      </c>
      <c r="AW326" s="113">
        <f t="shared" si="377"/>
        <v>0.13836286381162391</v>
      </c>
      <c r="AY326" s="111" t="s">
        <v>130</v>
      </c>
      <c r="AZ326" s="179">
        <f t="shared" si="358"/>
        <v>1.451791820500836E-2</v>
      </c>
      <c r="BA326" s="179">
        <f t="shared" si="359"/>
        <v>1.4744126811815219E-2</v>
      </c>
      <c r="BB326" s="179">
        <f t="shared" si="360"/>
        <v>1.4727363662641125E-2</v>
      </c>
      <c r="BC326" s="179">
        <f t="shared" si="361"/>
        <v>1.4448543983586302E-2</v>
      </c>
      <c r="BD326" s="179">
        <f t="shared" si="362"/>
        <v>1.4943617672014046E-2</v>
      </c>
      <c r="BE326" s="179">
        <f t="shared" si="363"/>
        <v>1.7131518829372801E-2</v>
      </c>
      <c r="BF326" s="179">
        <f t="shared" si="364"/>
        <v>1.7526126867804449E-2</v>
      </c>
      <c r="BG326" s="179">
        <f t="shared" si="365"/>
        <v>2.0359361151586028E-2</v>
      </c>
      <c r="BH326" s="179">
        <f t="shared" si="366"/>
        <v>1.7987172295511108E-2</v>
      </c>
    </row>
    <row r="327" spans="2:68" s="108" customFormat="1" x14ac:dyDescent="0.25">
      <c r="B327" s="107"/>
      <c r="E327" s="109" t="s">
        <v>1</v>
      </c>
      <c r="F327" s="110" t="s">
        <v>64</v>
      </c>
      <c r="G327" s="111" t="s">
        <v>131</v>
      </c>
      <c r="H327" s="112">
        <v>632497</v>
      </c>
      <c r="I327" s="112">
        <v>658384</v>
      </c>
      <c r="J327" s="112">
        <v>732468</v>
      </c>
      <c r="K327" s="112">
        <v>745160</v>
      </c>
      <c r="L327" s="112">
        <v>900886</v>
      </c>
      <c r="M327" s="112">
        <v>916204</v>
      </c>
      <c r="N327" s="112">
        <v>975780</v>
      </c>
      <c r="O327" s="112">
        <v>1034463</v>
      </c>
      <c r="P327" s="112">
        <v>1151430</v>
      </c>
      <c r="R327" s="111" t="s">
        <v>131</v>
      </c>
      <c r="S327" s="220">
        <v>2.6</v>
      </c>
      <c r="T327" s="220">
        <v>2.7</v>
      </c>
      <c r="U327" s="220">
        <v>2.2999999999999998</v>
      </c>
      <c r="V327" s="220">
        <v>3</v>
      </c>
      <c r="W327" s="220">
        <v>2</v>
      </c>
      <c r="X327" s="220">
        <v>2.4</v>
      </c>
      <c r="Y327" s="220">
        <v>2.2000000000000002</v>
      </c>
      <c r="Z327" s="220">
        <v>2.4</v>
      </c>
      <c r="AA327" s="220">
        <v>2.4</v>
      </c>
      <c r="AC327" s="111" t="s">
        <v>131</v>
      </c>
      <c r="AD327" s="112">
        <f t="shared" si="370"/>
        <v>32889.843999999997</v>
      </c>
      <c r="AE327" s="112">
        <f t="shared" si="351"/>
        <v>35552.736000000004</v>
      </c>
      <c r="AF327" s="112">
        <f t="shared" si="352"/>
        <v>33693.527999999998</v>
      </c>
      <c r="AG327" s="112">
        <f t="shared" si="353"/>
        <v>44709.599999999999</v>
      </c>
      <c r="AH327" s="112">
        <f t="shared" si="354"/>
        <v>36035.440000000002</v>
      </c>
      <c r="AI327" s="112">
        <f t="shared" si="355"/>
        <v>43977.792000000001</v>
      </c>
      <c r="AJ327" s="112">
        <f t="shared" si="356"/>
        <v>42934.32</v>
      </c>
      <c r="AK327" s="112">
        <f t="shared" si="367"/>
        <v>49654.223999999995</v>
      </c>
      <c r="AL327" s="112">
        <f t="shared" si="368"/>
        <v>55268.639999999999</v>
      </c>
      <c r="AN327" s="111" t="s">
        <v>131</v>
      </c>
      <c r="AO327" s="113">
        <f t="shared" ref="AO327:AW327" si="378">H327/H323</f>
        <v>0.4027581262011164</v>
      </c>
      <c r="AP327" s="113">
        <f t="shared" si="378"/>
        <v>0.40981539185503235</v>
      </c>
      <c r="AQ327" s="113">
        <f t="shared" si="378"/>
        <v>0.43925642781667124</v>
      </c>
      <c r="AR327" s="113">
        <f t="shared" si="378"/>
        <v>0.43433354316756428</v>
      </c>
      <c r="AS327" s="113">
        <f t="shared" si="378"/>
        <v>0.50789478876852345</v>
      </c>
      <c r="AT327" s="113">
        <f t="shared" si="378"/>
        <v>0.49669037166502766</v>
      </c>
      <c r="AU327" s="113">
        <f t="shared" si="378"/>
        <v>0.52028724624946143</v>
      </c>
      <c r="AV327" s="113">
        <f t="shared" si="378"/>
        <v>0.57663081710032116</v>
      </c>
      <c r="AW327" s="113">
        <f t="shared" si="378"/>
        <v>0.61867319174178237</v>
      </c>
      <c r="AY327" s="111" t="s">
        <v>131</v>
      </c>
      <c r="AZ327" s="179">
        <f t="shared" si="358"/>
        <v>2.0943422562458052E-2</v>
      </c>
      <c r="BA327" s="179">
        <f t="shared" si="359"/>
        <v>2.2130031160171749E-2</v>
      </c>
      <c r="BB327" s="179">
        <f t="shared" si="360"/>
        <v>2.0205795679566877E-2</v>
      </c>
      <c r="BC327" s="179">
        <f t="shared" si="361"/>
        <v>2.6060012590053857E-2</v>
      </c>
      <c r="BD327" s="179">
        <f t="shared" si="362"/>
        <v>2.0315791550740939E-2</v>
      </c>
      <c r="BE327" s="179">
        <f t="shared" si="363"/>
        <v>2.3841137839921325E-2</v>
      </c>
      <c r="BF327" s="179">
        <f t="shared" si="364"/>
        <v>2.2892638834976307E-2</v>
      </c>
      <c r="BG327" s="179">
        <f t="shared" si="365"/>
        <v>2.7678279220815415E-2</v>
      </c>
      <c r="BH327" s="179">
        <f t="shared" si="366"/>
        <v>2.9696313203605551E-2</v>
      </c>
    </row>
    <row r="328" spans="2:68" s="87" customFormat="1" x14ac:dyDescent="0.25">
      <c r="B328" s="84"/>
      <c r="C328" s="85"/>
      <c r="D328" s="85"/>
      <c r="E328" s="109" t="s">
        <v>2</v>
      </c>
      <c r="F328" s="110" t="s">
        <v>64</v>
      </c>
      <c r="G328" s="195" t="s">
        <v>7</v>
      </c>
      <c r="H328" s="69">
        <v>2931697</v>
      </c>
      <c r="I328" s="69">
        <v>2948824</v>
      </c>
      <c r="J328" s="69">
        <v>2874506</v>
      </c>
      <c r="K328" s="69">
        <v>2841008</v>
      </c>
      <c r="L328" s="69">
        <v>2740732</v>
      </c>
      <c r="M328" s="69">
        <v>2684184</v>
      </c>
      <c r="N328" s="69">
        <v>2678941</v>
      </c>
      <c r="O328" s="69">
        <v>2685430</v>
      </c>
      <c r="P328" s="69">
        <v>2826494</v>
      </c>
      <c r="R328" s="195" t="s">
        <v>7</v>
      </c>
      <c r="S328" s="226">
        <v>0.5</v>
      </c>
      <c r="T328" s="226">
        <v>0.5</v>
      </c>
      <c r="U328" s="226">
        <v>0.5</v>
      </c>
      <c r="V328" s="226">
        <v>0.6</v>
      </c>
      <c r="W328" s="226">
        <v>0.5</v>
      </c>
      <c r="X328" s="226">
        <v>0.6</v>
      </c>
      <c r="Y328" s="226">
        <v>0.6</v>
      </c>
      <c r="Z328" s="226">
        <v>0.7</v>
      </c>
      <c r="AA328" s="226">
        <v>0.8</v>
      </c>
      <c r="AC328" s="195" t="s">
        <v>7</v>
      </c>
      <c r="AD328" s="69">
        <f t="shared" si="370"/>
        <v>29316.97</v>
      </c>
      <c r="AE328" s="69">
        <f t="shared" si="351"/>
        <v>29488.240000000002</v>
      </c>
      <c r="AF328" s="69">
        <f t="shared" si="352"/>
        <v>28745.06</v>
      </c>
      <c r="AG328" s="69">
        <f t="shared" si="353"/>
        <v>34092.095999999998</v>
      </c>
      <c r="AH328" s="69">
        <f t="shared" si="354"/>
        <v>27407.32</v>
      </c>
      <c r="AI328" s="69">
        <f t="shared" si="355"/>
        <v>32210.207999999999</v>
      </c>
      <c r="AJ328" s="69">
        <f t="shared" si="356"/>
        <v>32147.291999999998</v>
      </c>
      <c r="AK328" s="69">
        <f t="shared" si="367"/>
        <v>37596.019999999997</v>
      </c>
      <c r="AL328" s="69">
        <f t="shared" si="368"/>
        <v>45223.904000000002</v>
      </c>
      <c r="AN328" s="195" t="s">
        <v>7</v>
      </c>
      <c r="AO328" s="98">
        <f t="shared" ref="AO328:AW328" si="379">H328/H328</f>
        <v>1</v>
      </c>
      <c r="AP328" s="98">
        <f t="shared" si="379"/>
        <v>1</v>
      </c>
      <c r="AQ328" s="98">
        <f t="shared" si="379"/>
        <v>1</v>
      </c>
      <c r="AR328" s="98">
        <f t="shared" si="379"/>
        <v>1</v>
      </c>
      <c r="AS328" s="98">
        <f t="shared" si="379"/>
        <v>1</v>
      </c>
      <c r="AT328" s="98">
        <f t="shared" si="379"/>
        <v>1</v>
      </c>
      <c r="AU328" s="98">
        <f t="shared" si="379"/>
        <v>1</v>
      </c>
      <c r="AV328" s="98">
        <f t="shared" si="379"/>
        <v>1</v>
      </c>
      <c r="AW328" s="98">
        <f t="shared" si="379"/>
        <v>1</v>
      </c>
      <c r="AX328" s="191"/>
      <c r="AY328" s="195" t="s">
        <v>7</v>
      </c>
      <c r="AZ328" s="178">
        <f t="shared" si="358"/>
        <v>0.01</v>
      </c>
      <c r="BA328" s="178">
        <f t="shared" si="359"/>
        <v>0.01</v>
      </c>
      <c r="BB328" s="178">
        <f t="shared" si="360"/>
        <v>0.01</v>
      </c>
      <c r="BC328" s="178">
        <f t="shared" si="361"/>
        <v>1.2E-2</v>
      </c>
      <c r="BD328" s="178">
        <f t="shared" si="362"/>
        <v>0.01</v>
      </c>
      <c r="BE328" s="178">
        <f t="shared" si="363"/>
        <v>1.2E-2</v>
      </c>
      <c r="BF328" s="178">
        <f t="shared" si="364"/>
        <v>1.2E-2</v>
      </c>
      <c r="BG328" s="178">
        <f t="shared" si="365"/>
        <v>1.3999999999999999E-2</v>
      </c>
      <c r="BH328" s="178">
        <f t="shared" si="366"/>
        <v>1.6E-2</v>
      </c>
      <c r="BI328" s="191"/>
      <c r="BJ328" s="191"/>
      <c r="BK328" s="191"/>
      <c r="BL328" s="191"/>
      <c r="BM328" s="191"/>
      <c r="BN328" s="191"/>
      <c r="BO328" s="191"/>
      <c r="BP328" s="191"/>
    </row>
    <row r="329" spans="2:68" s="108" customFormat="1" x14ac:dyDescent="0.25">
      <c r="B329" s="107"/>
      <c r="E329" s="109" t="s">
        <v>2</v>
      </c>
      <c r="F329" s="110" t="s">
        <v>64</v>
      </c>
      <c r="G329" s="111" t="s">
        <v>54</v>
      </c>
      <c r="H329" s="112">
        <v>881704</v>
      </c>
      <c r="I329" s="112">
        <v>806576</v>
      </c>
      <c r="J329" s="112">
        <v>736576</v>
      </c>
      <c r="K329" s="112">
        <v>688343</v>
      </c>
      <c r="L329" s="112">
        <v>594658</v>
      </c>
      <c r="M329" s="112">
        <v>646183</v>
      </c>
      <c r="N329" s="112">
        <v>558001</v>
      </c>
      <c r="O329" s="112">
        <v>540226</v>
      </c>
      <c r="P329" s="112">
        <v>499983</v>
      </c>
      <c r="R329" s="111" t="s">
        <v>54</v>
      </c>
      <c r="S329" s="220">
        <v>2.2999999999999998</v>
      </c>
      <c r="T329" s="220">
        <v>2.4</v>
      </c>
      <c r="U329" s="220">
        <v>3.1</v>
      </c>
      <c r="V329" s="220">
        <v>2.7</v>
      </c>
      <c r="W329" s="220">
        <v>3.5</v>
      </c>
      <c r="X329" s="220">
        <v>3.1</v>
      </c>
      <c r="Y329" s="220">
        <v>3.2</v>
      </c>
      <c r="Z329" s="220">
        <v>4.2</v>
      </c>
      <c r="AA329" s="220">
        <v>4.7</v>
      </c>
      <c r="AC329" s="111" t="s">
        <v>54</v>
      </c>
      <c r="AD329" s="112">
        <f t="shared" si="370"/>
        <v>40558.383999999998</v>
      </c>
      <c r="AE329" s="112">
        <f t="shared" si="351"/>
        <v>38715.648000000001</v>
      </c>
      <c r="AF329" s="112">
        <f t="shared" si="352"/>
        <v>45667.712</v>
      </c>
      <c r="AG329" s="112">
        <f t="shared" si="353"/>
        <v>37170.522000000004</v>
      </c>
      <c r="AH329" s="112">
        <f t="shared" si="354"/>
        <v>41626.06</v>
      </c>
      <c r="AI329" s="112">
        <f t="shared" si="355"/>
        <v>40063.345999999998</v>
      </c>
      <c r="AJ329" s="112">
        <f t="shared" si="356"/>
        <v>35712.064000000006</v>
      </c>
      <c r="AK329" s="112">
        <f t="shared" si="367"/>
        <v>45378.984000000004</v>
      </c>
      <c r="AL329" s="112">
        <f t="shared" si="368"/>
        <v>46998.402000000002</v>
      </c>
      <c r="AN329" s="111" t="s">
        <v>54</v>
      </c>
      <c r="AO329" s="113">
        <f t="shared" ref="AO329:AW329" si="380">H329/H328</f>
        <v>0.30074867900741448</v>
      </c>
      <c r="AP329" s="113">
        <f t="shared" si="380"/>
        <v>0.27352463219235873</v>
      </c>
      <c r="AQ329" s="113">
        <f t="shared" si="380"/>
        <v>0.25624437729474214</v>
      </c>
      <c r="AR329" s="113">
        <f t="shared" si="380"/>
        <v>0.24228830049053013</v>
      </c>
      <c r="AS329" s="113">
        <f t="shared" si="380"/>
        <v>0.21697050277079263</v>
      </c>
      <c r="AT329" s="113">
        <f t="shared" si="380"/>
        <v>0.24073722218745064</v>
      </c>
      <c r="AU329" s="113">
        <f t="shared" si="380"/>
        <v>0.2082916346421963</v>
      </c>
      <c r="AV329" s="113">
        <f t="shared" si="380"/>
        <v>0.20116927270492993</v>
      </c>
      <c r="AW329" s="113">
        <f t="shared" si="380"/>
        <v>0.17689158370758967</v>
      </c>
      <c r="AY329" s="111" t="s">
        <v>54</v>
      </c>
      <c r="AZ329" s="179">
        <f t="shared" si="358"/>
        <v>1.3834439234341064E-2</v>
      </c>
      <c r="BA329" s="179">
        <f t="shared" si="359"/>
        <v>1.3129182345233218E-2</v>
      </c>
      <c r="BB329" s="179">
        <f t="shared" si="360"/>
        <v>1.5887151392274014E-2</v>
      </c>
      <c r="BC329" s="179">
        <f t="shared" si="361"/>
        <v>1.3083568226488628E-2</v>
      </c>
      <c r="BD329" s="179">
        <f t="shared" si="362"/>
        <v>1.5187935193955483E-2</v>
      </c>
      <c r="BE329" s="179">
        <f t="shared" si="363"/>
        <v>1.492570777562194E-2</v>
      </c>
      <c r="BF329" s="179">
        <f t="shared" si="364"/>
        <v>1.3330664617100564E-2</v>
      </c>
      <c r="BG329" s="179">
        <f t="shared" si="365"/>
        <v>1.6898218907214116E-2</v>
      </c>
      <c r="BH329" s="179">
        <f t="shared" si="366"/>
        <v>1.6627808868513429E-2</v>
      </c>
    </row>
    <row r="330" spans="2:68" s="108" customFormat="1" x14ac:dyDescent="0.25">
      <c r="B330" s="107"/>
      <c r="E330" s="109" t="s">
        <v>2</v>
      </c>
      <c r="F330" s="110" t="s">
        <v>64</v>
      </c>
      <c r="G330" s="111" t="s">
        <v>55</v>
      </c>
      <c r="H330" s="70">
        <v>596977</v>
      </c>
      <c r="I330" s="70">
        <v>597128</v>
      </c>
      <c r="J330" s="70">
        <v>584735</v>
      </c>
      <c r="K330" s="70">
        <v>573036</v>
      </c>
      <c r="L330" s="70">
        <v>506353</v>
      </c>
      <c r="M330" s="70">
        <v>504213</v>
      </c>
      <c r="N330" s="70">
        <v>558417</v>
      </c>
      <c r="O330" s="112">
        <v>484761</v>
      </c>
      <c r="P330" s="112">
        <v>558846</v>
      </c>
      <c r="R330" s="111" t="s">
        <v>55</v>
      </c>
      <c r="S330" s="81">
        <v>3</v>
      </c>
      <c r="T330" s="81">
        <v>3.1</v>
      </c>
      <c r="U330" s="81">
        <v>3.1</v>
      </c>
      <c r="V330" s="81">
        <v>3.6</v>
      </c>
      <c r="W330" s="81">
        <v>3.6</v>
      </c>
      <c r="X330" s="81">
        <v>4.0999999999999996</v>
      </c>
      <c r="Y330" s="81">
        <v>3.9</v>
      </c>
      <c r="Z330" s="81">
        <v>4.5999999999999996</v>
      </c>
      <c r="AA330" s="81">
        <v>4.4000000000000004</v>
      </c>
      <c r="AC330" s="111" t="s">
        <v>55</v>
      </c>
      <c r="AD330" s="70">
        <f t="shared" si="370"/>
        <v>35818.620000000003</v>
      </c>
      <c r="AE330" s="70">
        <f t="shared" si="351"/>
        <v>37021.936000000002</v>
      </c>
      <c r="AF330" s="70">
        <f t="shared" si="352"/>
        <v>36253.57</v>
      </c>
      <c r="AG330" s="70">
        <f t="shared" si="353"/>
        <v>41258.592000000004</v>
      </c>
      <c r="AH330" s="70">
        <f t="shared" si="354"/>
        <v>36457.415999999997</v>
      </c>
      <c r="AI330" s="70">
        <f t="shared" si="355"/>
        <v>41345.465999999993</v>
      </c>
      <c r="AJ330" s="70">
        <f t="shared" si="356"/>
        <v>43556.525999999998</v>
      </c>
      <c r="AK330" s="70">
        <f t="shared" si="367"/>
        <v>44598.011999999995</v>
      </c>
      <c r="AL330" s="70">
        <f t="shared" si="368"/>
        <v>49178.448000000004</v>
      </c>
      <c r="AN330" s="111" t="s">
        <v>55</v>
      </c>
      <c r="AO330" s="113">
        <f t="shared" ref="AO330:AW330" si="381">H330/H328</f>
        <v>0.20362847865928846</v>
      </c>
      <c r="AP330" s="113">
        <f t="shared" si="381"/>
        <v>0.20249699541240848</v>
      </c>
      <c r="AQ330" s="113">
        <f t="shared" si="381"/>
        <v>0.20342103999782921</v>
      </c>
      <c r="AR330" s="113">
        <f t="shared" si="381"/>
        <v>0.20170164955536907</v>
      </c>
      <c r="AS330" s="113">
        <f t="shared" si="381"/>
        <v>0.18475100812483672</v>
      </c>
      <c r="AT330" s="113">
        <f t="shared" si="381"/>
        <v>0.18784591518316182</v>
      </c>
      <c r="AU330" s="113">
        <f t="shared" si="381"/>
        <v>0.20844691988364059</v>
      </c>
      <c r="AV330" s="113">
        <f t="shared" si="381"/>
        <v>0.18051522474985385</v>
      </c>
      <c r="AW330" s="113">
        <f t="shared" si="381"/>
        <v>0.19771703035633545</v>
      </c>
      <c r="AY330" s="111" t="s">
        <v>55</v>
      </c>
      <c r="AZ330" s="179">
        <f t="shared" si="358"/>
        <v>1.2217708719557307E-2</v>
      </c>
      <c r="BA330" s="179">
        <f t="shared" si="359"/>
        <v>1.2554813715569326E-2</v>
      </c>
      <c r="BB330" s="179">
        <f t="shared" si="360"/>
        <v>1.2612104479865412E-2</v>
      </c>
      <c r="BC330" s="179">
        <f t="shared" si="361"/>
        <v>1.4522518767986574E-2</v>
      </c>
      <c r="BD330" s="179">
        <f t="shared" si="362"/>
        <v>1.3302072584988245E-2</v>
      </c>
      <c r="BE330" s="179">
        <f t="shared" si="363"/>
        <v>1.5403365045019268E-2</v>
      </c>
      <c r="BF330" s="179">
        <f t="shared" si="364"/>
        <v>1.6258859750923966E-2</v>
      </c>
      <c r="BG330" s="179">
        <f t="shared" si="365"/>
        <v>1.6607400676986551E-2</v>
      </c>
      <c r="BH330" s="179">
        <f t="shared" si="366"/>
        <v>1.739909867135752E-2</v>
      </c>
    </row>
    <row r="331" spans="2:68" s="108" customFormat="1" x14ac:dyDescent="0.25">
      <c r="B331" s="107"/>
      <c r="E331" s="109" t="s">
        <v>2</v>
      </c>
      <c r="F331" s="110" t="s">
        <v>64</v>
      </c>
      <c r="G331" s="111" t="s">
        <v>130</v>
      </c>
      <c r="H331" s="70">
        <v>379641</v>
      </c>
      <c r="I331" s="70">
        <v>444352</v>
      </c>
      <c r="J331" s="70">
        <v>435556</v>
      </c>
      <c r="K331" s="70">
        <v>375066</v>
      </c>
      <c r="L331" s="70">
        <v>372741</v>
      </c>
      <c r="M331" s="70">
        <v>342770</v>
      </c>
      <c r="N331" s="70">
        <v>353911</v>
      </c>
      <c r="O331" s="112">
        <v>391206</v>
      </c>
      <c r="P331" s="112">
        <v>403671</v>
      </c>
      <c r="R331" s="111" t="s">
        <v>130</v>
      </c>
      <c r="S331" s="220">
        <v>3.9</v>
      </c>
      <c r="T331" s="220">
        <v>3.5</v>
      </c>
      <c r="U331" s="220">
        <v>3.6</v>
      </c>
      <c r="V331" s="220">
        <v>4.2</v>
      </c>
      <c r="W331" s="220">
        <v>4.5</v>
      </c>
      <c r="X331" s="220">
        <v>5.4</v>
      </c>
      <c r="Y331" s="220">
        <v>5</v>
      </c>
      <c r="Z331" s="220">
        <v>5.4</v>
      </c>
      <c r="AA331" s="220">
        <v>5.0999999999999996</v>
      </c>
      <c r="AC331" s="111" t="s">
        <v>130</v>
      </c>
      <c r="AD331" s="70">
        <f t="shared" si="370"/>
        <v>29611.998</v>
      </c>
      <c r="AE331" s="70">
        <f t="shared" si="351"/>
        <v>31104.639999999999</v>
      </c>
      <c r="AF331" s="70">
        <f t="shared" si="352"/>
        <v>31360.032000000003</v>
      </c>
      <c r="AG331" s="70">
        <f t="shared" si="353"/>
        <v>31505.543999999998</v>
      </c>
      <c r="AH331" s="70">
        <f t="shared" si="354"/>
        <v>33546.69</v>
      </c>
      <c r="AI331" s="70">
        <f t="shared" si="355"/>
        <v>37019.160000000003</v>
      </c>
      <c r="AJ331" s="70">
        <f t="shared" si="356"/>
        <v>35391.1</v>
      </c>
      <c r="AK331" s="70">
        <f t="shared" si="367"/>
        <v>42250.248</v>
      </c>
      <c r="AL331" s="70">
        <f t="shared" si="368"/>
        <v>41174.441999999995</v>
      </c>
      <c r="AN331" s="111" t="s">
        <v>130</v>
      </c>
      <c r="AO331" s="113">
        <f t="shared" ref="AO331:AW331" si="382">H331/H328</f>
        <v>0.12949530596101849</v>
      </c>
      <c r="AP331" s="113">
        <f t="shared" si="382"/>
        <v>0.15068786743461121</v>
      </c>
      <c r="AQ331" s="113">
        <f t="shared" si="382"/>
        <v>0.15152377486775118</v>
      </c>
      <c r="AR331" s="113">
        <f t="shared" si="382"/>
        <v>0.13201863563918159</v>
      </c>
      <c r="AS331" s="113">
        <f t="shared" si="382"/>
        <v>0.13600052832600926</v>
      </c>
      <c r="AT331" s="113">
        <f t="shared" si="382"/>
        <v>0.12769988942635827</v>
      </c>
      <c r="AU331" s="113">
        <f t="shared" si="382"/>
        <v>0.13210854587689688</v>
      </c>
      <c r="AV331" s="113">
        <f t="shared" si="382"/>
        <v>0.14567722860026142</v>
      </c>
      <c r="AW331" s="113">
        <f t="shared" si="382"/>
        <v>0.14281686074691827</v>
      </c>
      <c r="AY331" s="111" t="s">
        <v>130</v>
      </c>
      <c r="AZ331" s="179">
        <f t="shared" si="358"/>
        <v>1.0100633864959442E-2</v>
      </c>
      <c r="BA331" s="179">
        <f t="shared" si="359"/>
        <v>1.0548150720422785E-2</v>
      </c>
      <c r="BB331" s="179">
        <f t="shared" si="360"/>
        <v>1.0909711790478085E-2</v>
      </c>
      <c r="BC331" s="179">
        <f t="shared" si="361"/>
        <v>1.1089565393691254E-2</v>
      </c>
      <c r="BD331" s="179">
        <f t="shared" si="362"/>
        <v>1.2240047549340834E-2</v>
      </c>
      <c r="BE331" s="179">
        <f t="shared" si="363"/>
        <v>1.3791588058046693E-2</v>
      </c>
      <c r="BF331" s="179">
        <f t="shared" si="364"/>
        <v>1.321085458768969E-2</v>
      </c>
      <c r="BG331" s="179">
        <f t="shared" si="365"/>
        <v>1.5733140688828234E-2</v>
      </c>
      <c r="BH331" s="179">
        <f t="shared" si="366"/>
        <v>1.4567319796185663E-2</v>
      </c>
    </row>
    <row r="332" spans="2:68" s="108" customFormat="1" x14ac:dyDescent="0.25">
      <c r="B332" s="107"/>
      <c r="E332" s="109" t="s">
        <v>2</v>
      </c>
      <c r="F332" s="110" t="s">
        <v>64</v>
      </c>
      <c r="G332" s="111" t="s">
        <v>131</v>
      </c>
      <c r="H332" s="112">
        <v>1072519</v>
      </c>
      <c r="I332" s="112">
        <v>1100213</v>
      </c>
      <c r="J332" s="112">
        <v>1117639</v>
      </c>
      <c r="K332" s="112">
        <v>1204251</v>
      </c>
      <c r="L332" s="112">
        <v>1266980</v>
      </c>
      <c r="M332" s="112">
        <v>1191019</v>
      </c>
      <c r="N332" s="112">
        <v>1208612</v>
      </c>
      <c r="O332" s="112">
        <v>1269237</v>
      </c>
      <c r="P332" s="112">
        <v>1363994</v>
      </c>
      <c r="R332" s="111" t="s">
        <v>131</v>
      </c>
      <c r="S332" s="220">
        <v>1.9</v>
      </c>
      <c r="T332" s="220">
        <v>2</v>
      </c>
      <c r="U332" s="220">
        <v>2</v>
      </c>
      <c r="V332" s="220">
        <v>1.6</v>
      </c>
      <c r="W332" s="220">
        <v>2.2000000000000002</v>
      </c>
      <c r="X332" s="220">
        <v>2</v>
      </c>
      <c r="Y332" s="220">
        <v>1.6</v>
      </c>
      <c r="Z332" s="220">
        <v>2.6</v>
      </c>
      <c r="AA332" s="220">
        <v>2.4</v>
      </c>
      <c r="AC332" s="111" t="s">
        <v>131</v>
      </c>
      <c r="AD332" s="112">
        <f t="shared" si="370"/>
        <v>40755.721999999994</v>
      </c>
      <c r="AE332" s="112">
        <f t="shared" si="351"/>
        <v>44008.52</v>
      </c>
      <c r="AF332" s="112">
        <f t="shared" si="352"/>
        <v>44705.56</v>
      </c>
      <c r="AG332" s="112">
        <f t="shared" si="353"/>
        <v>38536.031999999999</v>
      </c>
      <c r="AH332" s="112">
        <f t="shared" si="354"/>
        <v>55747.12</v>
      </c>
      <c r="AI332" s="112">
        <f t="shared" si="355"/>
        <v>47640.76</v>
      </c>
      <c r="AJ332" s="112">
        <f t="shared" si="356"/>
        <v>38675.584000000003</v>
      </c>
      <c r="AK332" s="112">
        <f t="shared" si="367"/>
        <v>66000.324000000008</v>
      </c>
      <c r="AL332" s="112">
        <f t="shared" si="368"/>
        <v>65471.712</v>
      </c>
      <c r="AN332" s="111" t="s">
        <v>131</v>
      </c>
      <c r="AO332" s="113">
        <f t="shared" ref="AO332:AW332" si="383">H332/H328</f>
        <v>0.36583555531147999</v>
      </c>
      <c r="AP332" s="113">
        <f t="shared" si="383"/>
        <v>0.37310229433835318</v>
      </c>
      <c r="AQ332" s="113">
        <f t="shared" si="383"/>
        <v>0.38881080783967747</v>
      </c>
      <c r="AR332" s="113">
        <f t="shared" si="383"/>
        <v>0.42388159413841847</v>
      </c>
      <c r="AS332" s="113">
        <f t="shared" si="383"/>
        <v>0.46227796077836142</v>
      </c>
      <c r="AT332" s="113">
        <f t="shared" si="383"/>
        <v>0.44371734575573063</v>
      </c>
      <c r="AU332" s="113">
        <f t="shared" si="383"/>
        <v>0.45115289959726623</v>
      </c>
      <c r="AV332" s="113">
        <f t="shared" si="383"/>
        <v>0.47263827394495483</v>
      </c>
      <c r="AW332" s="113">
        <f t="shared" si="383"/>
        <v>0.48257452518915661</v>
      </c>
      <c r="AY332" s="111" t="s">
        <v>131</v>
      </c>
      <c r="AZ332" s="179">
        <f t="shared" si="358"/>
        <v>1.3901751101836239E-2</v>
      </c>
      <c r="BA332" s="179">
        <f t="shared" si="359"/>
        <v>1.4924091773534128E-2</v>
      </c>
      <c r="BB332" s="179">
        <f t="shared" si="360"/>
        <v>1.5552432313587099E-2</v>
      </c>
      <c r="BC332" s="179">
        <f t="shared" si="361"/>
        <v>1.3564211012429392E-2</v>
      </c>
      <c r="BD332" s="179">
        <f t="shared" si="362"/>
        <v>2.0340230274247903E-2</v>
      </c>
      <c r="BE332" s="179">
        <f t="shared" si="363"/>
        <v>1.7748693830229225E-2</v>
      </c>
      <c r="BF332" s="179">
        <f t="shared" si="364"/>
        <v>1.4436892787112521E-2</v>
      </c>
      <c r="BG332" s="179">
        <f t="shared" si="365"/>
        <v>2.4577190245137652E-2</v>
      </c>
      <c r="BH332" s="179">
        <f t="shared" si="366"/>
        <v>2.3163577209079515E-2</v>
      </c>
    </row>
    <row r="333" spans="2:68" s="87" customFormat="1" x14ac:dyDescent="0.25">
      <c r="B333" s="84"/>
      <c r="C333" s="85"/>
      <c r="D333" s="85"/>
      <c r="E333" s="109" t="s">
        <v>3</v>
      </c>
      <c r="F333" s="110" t="s">
        <v>64</v>
      </c>
      <c r="G333" s="195" t="s">
        <v>7</v>
      </c>
      <c r="H333" s="69">
        <v>2718260</v>
      </c>
      <c r="I333" s="69">
        <v>2916979</v>
      </c>
      <c r="J333" s="69">
        <v>3105683</v>
      </c>
      <c r="K333" s="69">
        <v>3373438</v>
      </c>
      <c r="L333" s="69">
        <v>3578675</v>
      </c>
      <c r="M333" s="69">
        <v>3694437</v>
      </c>
      <c r="N333" s="69">
        <v>3761975</v>
      </c>
      <c r="O333" s="69">
        <v>3951582</v>
      </c>
      <c r="P333" s="69">
        <v>3922826</v>
      </c>
      <c r="R333" s="195" t="s">
        <v>7</v>
      </c>
      <c r="S333" s="226">
        <v>0.5</v>
      </c>
      <c r="T333" s="226">
        <v>0.5</v>
      </c>
      <c r="U333" s="226">
        <v>0.4</v>
      </c>
      <c r="V333" s="226">
        <v>0.5</v>
      </c>
      <c r="W333" s="226">
        <v>0.4</v>
      </c>
      <c r="X333" s="226">
        <v>0.5</v>
      </c>
      <c r="Y333" s="226">
        <v>0.5</v>
      </c>
      <c r="Z333" s="226">
        <v>0.6</v>
      </c>
      <c r="AA333" s="226">
        <v>0.8</v>
      </c>
      <c r="AC333" s="195" t="s">
        <v>7</v>
      </c>
      <c r="AD333" s="69">
        <f t="shared" si="370"/>
        <v>27182.6</v>
      </c>
      <c r="AE333" s="69">
        <f t="shared" si="351"/>
        <v>29169.79</v>
      </c>
      <c r="AF333" s="69">
        <f t="shared" si="352"/>
        <v>24845.464</v>
      </c>
      <c r="AG333" s="69">
        <f t="shared" si="353"/>
        <v>33734.379999999997</v>
      </c>
      <c r="AH333" s="69">
        <f t="shared" si="354"/>
        <v>28629.4</v>
      </c>
      <c r="AI333" s="69">
        <f t="shared" si="355"/>
        <v>36944.370000000003</v>
      </c>
      <c r="AJ333" s="69">
        <f t="shared" si="356"/>
        <v>37619.75</v>
      </c>
      <c r="AK333" s="69">
        <f t="shared" si="367"/>
        <v>47418.983999999997</v>
      </c>
      <c r="AL333" s="69">
        <f t="shared" si="368"/>
        <v>62765.216000000008</v>
      </c>
      <c r="AN333" s="195" t="s">
        <v>7</v>
      </c>
      <c r="AO333" s="98">
        <f t="shared" ref="AO333:AW333" si="384">H333/H333</f>
        <v>1</v>
      </c>
      <c r="AP333" s="98">
        <f t="shared" si="384"/>
        <v>1</v>
      </c>
      <c r="AQ333" s="98">
        <f t="shared" si="384"/>
        <v>1</v>
      </c>
      <c r="AR333" s="98">
        <f t="shared" si="384"/>
        <v>1</v>
      </c>
      <c r="AS333" s="98">
        <f t="shared" si="384"/>
        <v>1</v>
      </c>
      <c r="AT333" s="98">
        <f t="shared" si="384"/>
        <v>1</v>
      </c>
      <c r="AU333" s="98">
        <f t="shared" si="384"/>
        <v>1</v>
      </c>
      <c r="AV333" s="98">
        <f t="shared" si="384"/>
        <v>1</v>
      </c>
      <c r="AW333" s="98">
        <f t="shared" si="384"/>
        <v>1</v>
      </c>
      <c r="AX333" s="191"/>
      <c r="AY333" s="195" t="s">
        <v>7</v>
      </c>
      <c r="AZ333" s="178">
        <f t="shared" si="358"/>
        <v>0.01</v>
      </c>
      <c r="BA333" s="178">
        <f t="shared" si="359"/>
        <v>0.01</v>
      </c>
      <c r="BB333" s="178">
        <f t="shared" si="360"/>
        <v>8.0000000000000002E-3</v>
      </c>
      <c r="BC333" s="178">
        <f t="shared" si="361"/>
        <v>0.01</v>
      </c>
      <c r="BD333" s="178">
        <f t="shared" si="362"/>
        <v>8.0000000000000002E-3</v>
      </c>
      <c r="BE333" s="178">
        <f t="shared" si="363"/>
        <v>0.01</v>
      </c>
      <c r="BF333" s="178">
        <f t="shared" si="364"/>
        <v>0.01</v>
      </c>
      <c r="BG333" s="178">
        <f t="shared" si="365"/>
        <v>1.2E-2</v>
      </c>
      <c r="BH333" s="178">
        <f t="shared" si="366"/>
        <v>1.6E-2</v>
      </c>
      <c r="BI333" s="191"/>
      <c r="BJ333" s="191"/>
      <c r="BK333" s="191"/>
      <c r="BL333" s="191"/>
      <c r="BM333" s="191"/>
      <c r="BN333" s="191"/>
      <c r="BO333" s="191"/>
      <c r="BP333" s="191"/>
    </row>
    <row r="334" spans="2:68" s="108" customFormat="1" x14ac:dyDescent="0.25">
      <c r="B334" s="107"/>
      <c r="E334" s="109" t="s">
        <v>3</v>
      </c>
      <c r="F334" s="110" t="s">
        <v>64</v>
      </c>
      <c r="G334" s="111" t="s">
        <v>54</v>
      </c>
      <c r="H334" s="112">
        <v>649407</v>
      </c>
      <c r="I334" s="112">
        <v>640807</v>
      </c>
      <c r="J334" s="112">
        <v>671998</v>
      </c>
      <c r="K334" s="112">
        <v>724174</v>
      </c>
      <c r="L334" s="112">
        <v>776609</v>
      </c>
      <c r="M334" s="112">
        <v>792268</v>
      </c>
      <c r="N334" s="112">
        <v>778441</v>
      </c>
      <c r="O334" s="112">
        <v>804568</v>
      </c>
      <c r="P334" s="112">
        <v>731090</v>
      </c>
      <c r="R334" s="111" t="s">
        <v>54</v>
      </c>
      <c r="S334" s="220">
        <v>3</v>
      </c>
      <c r="T334" s="220">
        <v>3.1</v>
      </c>
      <c r="U334" s="220">
        <v>3.2</v>
      </c>
      <c r="V334" s="220">
        <v>2.7</v>
      </c>
      <c r="W334" s="220">
        <v>2.5</v>
      </c>
      <c r="X334" s="220">
        <v>2.8</v>
      </c>
      <c r="Y334" s="220">
        <v>2.2999999999999998</v>
      </c>
      <c r="Z334" s="220">
        <v>3.5</v>
      </c>
      <c r="AA334" s="220">
        <v>4.4000000000000004</v>
      </c>
      <c r="AC334" s="111" t="s">
        <v>54</v>
      </c>
      <c r="AD334" s="112">
        <f t="shared" si="370"/>
        <v>38964.42</v>
      </c>
      <c r="AE334" s="112">
        <f t="shared" si="351"/>
        <v>39730.034</v>
      </c>
      <c r="AF334" s="112">
        <f t="shared" si="352"/>
        <v>43007.872000000003</v>
      </c>
      <c r="AG334" s="112">
        <f t="shared" si="353"/>
        <v>39105.396000000001</v>
      </c>
      <c r="AH334" s="112">
        <f t="shared" si="354"/>
        <v>38830.449999999997</v>
      </c>
      <c r="AI334" s="112">
        <f t="shared" si="355"/>
        <v>44367.008000000002</v>
      </c>
      <c r="AJ334" s="112">
        <f t="shared" si="356"/>
        <v>35808.285999999993</v>
      </c>
      <c r="AK334" s="112">
        <f t="shared" si="367"/>
        <v>56319.76</v>
      </c>
      <c r="AL334" s="112">
        <f t="shared" si="368"/>
        <v>64335.920000000013</v>
      </c>
      <c r="AN334" s="111" t="s">
        <v>54</v>
      </c>
      <c r="AO334" s="113">
        <f t="shared" ref="AO334:AW334" si="385">H334/H333</f>
        <v>0.2389054027208582</v>
      </c>
      <c r="AP334" s="113">
        <f t="shared" si="385"/>
        <v>0.21968173236763103</v>
      </c>
      <c r="AQ334" s="113">
        <f t="shared" si="385"/>
        <v>0.21637688070546801</v>
      </c>
      <c r="AR334" s="113">
        <f t="shared" si="385"/>
        <v>0.21466942626483723</v>
      </c>
      <c r="AS334" s="113">
        <f t="shared" si="385"/>
        <v>0.21701020629143467</v>
      </c>
      <c r="AT334" s="113">
        <f t="shared" si="385"/>
        <v>0.21444891332562985</v>
      </c>
      <c r="AU334" s="113">
        <f t="shared" si="385"/>
        <v>0.20692349098545312</v>
      </c>
      <c r="AV334" s="113">
        <f t="shared" si="385"/>
        <v>0.20360655555167526</v>
      </c>
      <c r="AW334" s="113">
        <f t="shared" si="385"/>
        <v>0.18636819476571226</v>
      </c>
      <c r="AY334" s="111" t="s">
        <v>54</v>
      </c>
      <c r="AZ334" s="179">
        <f t="shared" si="358"/>
        <v>1.4334324163251493E-2</v>
      </c>
      <c r="BA334" s="179">
        <f t="shared" si="359"/>
        <v>1.3620267406793125E-2</v>
      </c>
      <c r="BB334" s="179">
        <f t="shared" si="360"/>
        <v>1.3848120365149954E-2</v>
      </c>
      <c r="BC334" s="179">
        <f t="shared" si="361"/>
        <v>1.1592149018301212E-2</v>
      </c>
      <c r="BD334" s="179">
        <f t="shared" si="362"/>
        <v>1.0850510314571732E-2</v>
      </c>
      <c r="BE334" s="179">
        <f t="shared" si="363"/>
        <v>1.2009139146235271E-2</v>
      </c>
      <c r="BF334" s="179">
        <f t="shared" si="364"/>
        <v>9.5184805853308421E-3</v>
      </c>
      <c r="BG334" s="179">
        <f t="shared" si="365"/>
        <v>1.4252458888617267E-2</v>
      </c>
      <c r="BH334" s="179">
        <f t="shared" si="366"/>
        <v>1.6400401139382681E-2</v>
      </c>
    </row>
    <row r="335" spans="2:68" s="108" customFormat="1" x14ac:dyDescent="0.25">
      <c r="B335" s="107"/>
      <c r="E335" s="109" t="s">
        <v>3</v>
      </c>
      <c r="F335" s="110" t="s">
        <v>64</v>
      </c>
      <c r="G335" s="111" t="s">
        <v>55</v>
      </c>
      <c r="H335" s="70">
        <v>882099</v>
      </c>
      <c r="I335" s="70">
        <v>986942</v>
      </c>
      <c r="J335" s="112">
        <v>1091337</v>
      </c>
      <c r="K335" s="112">
        <v>1083058</v>
      </c>
      <c r="L335" s="112">
        <v>1090902</v>
      </c>
      <c r="M335" s="112">
        <v>1116421</v>
      </c>
      <c r="N335" s="112">
        <v>1038841</v>
      </c>
      <c r="O335" s="112">
        <v>1118845</v>
      </c>
      <c r="P335" s="112">
        <v>1066095</v>
      </c>
      <c r="R335" s="111" t="s">
        <v>55</v>
      </c>
      <c r="S335" s="81">
        <v>2.6</v>
      </c>
      <c r="T335" s="81">
        <v>2.2999999999999998</v>
      </c>
      <c r="U335" s="81">
        <v>2</v>
      </c>
      <c r="V335" s="81">
        <v>2.2000000000000002</v>
      </c>
      <c r="W335" s="81">
        <v>1.9</v>
      </c>
      <c r="X335" s="81">
        <v>2.6</v>
      </c>
      <c r="Y335" s="81">
        <v>2.7</v>
      </c>
      <c r="Z335" s="81">
        <v>3.1</v>
      </c>
      <c r="AA335" s="81">
        <v>3</v>
      </c>
      <c r="AC335" s="111" t="s">
        <v>55</v>
      </c>
      <c r="AD335" s="70">
        <f t="shared" si="370"/>
        <v>45869.148000000001</v>
      </c>
      <c r="AE335" s="70">
        <f t="shared" si="351"/>
        <v>45399.331999999995</v>
      </c>
      <c r="AF335" s="70">
        <f t="shared" si="352"/>
        <v>43653.48</v>
      </c>
      <c r="AG335" s="70">
        <f t="shared" si="353"/>
        <v>47654.552000000003</v>
      </c>
      <c r="AH335" s="70">
        <f t="shared" si="354"/>
        <v>41454.275999999998</v>
      </c>
      <c r="AI335" s="70">
        <f t="shared" si="355"/>
        <v>58053.892</v>
      </c>
      <c r="AJ335" s="70">
        <f t="shared" si="356"/>
        <v>56097.414000000004</v>
      </c>
      <c r="AK335" s="70">
        <f t="shared" si="367"/>
        <v>69368.39</v>
      </c>
      <c r="AL335" s="70">
        <f t="shared" si="368"/>
        <v>63965.7</v>
      </c>
      <c r="AN335" s="111" t="s">
        <v>55</v>
      </c>
      <c r="AO335" s="113">
        <f t="shared" ref="AO335:AW335" si="386">H335/H333</f>
        <v>0.32450869306100227</v>
      </c>
      <c r="AP335" s="113">
        <f t="shared" si="386"/>
        <v>0.33834388248938368</v>
      </c>
      <c r="AQ335" s="113">
        <f t="shared" si="386"/>
        <v>0.35139999800365973</v>
      </c>
      <c r="AR335" s="113">
        <f t="shared" si="386"/>
        <v>0.32105466292844276</v>
      </c>
      <c r="AS335" s="113">
        <f t="shared" si="386"/>
        <v>0.30483405170908229</v>
      </c>
      <c r="AT335" s="113">
        <f t="shared" si="386"/>
        <v>0.30218975178085322</v>
      </c>
      <c r="AU335" s="113">
        <f t="shared" si="386"/>
        <v>0.27614245177067898</v>
      </c>
      <c r="AV335" s="113">
        <f t="shared" si="386"/>
        <v>0.28313849997292223</v>
      </c>
      <c r="AW335" s="113">
        <f t="shared" si="386"/>
        <v>0.27176708831847246</v>
      </c>
      <c r="AY335" s="111" t="s">
        <v>55</v>
      </c>
      <c r="AZ335" s="179">
        <f t="shared" si="358"/>
        <v>1.6874452039172119E-2</v>
      </c>
      <c r="BA335" s="179">
        <f t="shared" si="359"/>
        <v>1.5563818594511648E-2</v>
      </c>
      <c r="BB335" s="179">
        <f t="shared" si="360"/>
        <v>1.4055999920146389E-2</v>
      </c>
      <c r="BC335" s="179">
        <f t="shared" si="361"/>
        <v>1.4126405168851483E-2</v>
      </c>
      <c r="BD335" s="179">
        <f t="shared" si="362"/>
        <v>1.1583693964945125E-2</v>
      </c>
      <c r="BE335" s="179">
        <f t="shared" si="363"/>
        <v>1.5713867092604368E-2</v>
      </c>
      <c r="BF335" s="179">
        <f t="shared" si="364"/>
        <v>1.4911692395616665E-2</v>
      </c>
      <c r="BG335" s="179">
        <f t="shared" si="365"/>
        <v>1.7554586998321176E-2</v>
      </c>
      <c r="BH335" s="179">
        <f t="shared" si="366"/>
        <v>1.6306025299108347E-2</v>
      </c>
    </row>
    <row r="336" spans="2:68" s="108" customFormat="1" x14ac:dyDescent="0.25">
      <c r="B336" s="107"/>
      <c r="E336" s="109" t="s">
        <v>3</v>
      </c>
      <c r="F336" s="110" t="s">
        <v>64</v>
      </c>
      <c r="G336" s="111" t="s">
        <v>130</v>
      </c>
      <c r="H336" s="70">
        <v>305576</v>
      </c>
      <c r="I336" s="70">
        <v>367444</v>
      </c>
      <c r="J336" s="70">
        <v>351032</v>
      </c>
      <c r="K336" s="70">
        <v>351541</v>
      </c>
      <c r="L336" s="70">
        <v>444910</v>
      </c>
      <c r="M336" s="70">
        <v>423268</v>
      </c>
      <c r="N336" s="70">
        <v>475555</v>
      </c>
      <c r="O336" s="112">
        <v>514142</v>
      </c>
      <c r="P336" s="112">
        <v>515018</v>
      </c>
      <c r="R336" s="111" t="s">
        <v>130</v>
      </c>
      <c r="S336" s="220">
        <v>4.2</v>
      </c>
      <c r="T336" s="220">
        <v>3.9</v>
      </c>
      <c r="U336" s="220">
        <v>3.9</v>
      </c>
      <c r="V336" s="220">
        <v>4.2</v>
      </c>
      <c r="W336" s="220">
        <v>4.2</v>
      </c>
      <c r="X336" s="220">
        <v>4.7</v>
      </c>
      <c r="Y336" s="220">
        <v>4.4000000000000004</v>
      </c>
      <c r="Z336" s="220">
        <v>4.4000000000000004</v>
      </c>
      <c r="AA336" s="220">
        <v>4.4000000000000004</v>
      </c>
      <c r="AC336" s="111" t="s">
        <v>130</v>
      </c>
      <c r="AD336" s="70">
        <f t="shared" si="370"/>
        <v>25668.383999999998</v>
      </c>
      <c r="AE336" s="70">
        <f t="shared" si="351"/>
        <v>28660.631999999998</v>
      </c>
      <c r="AF336" s="70">
        <f t="shared" si="352"/>
        <v>27380.495999999999</v>
      </c>
      <c r="AG336" s="70">
        <f t="shared" si="353"/>
        <v>29529.444</v>
      </c>
      <c r="AH336" s="70">
        <f t="shared" si="354"/>
        <v>37372.44</v>
      </c>
      <c r="AI336" s="70">
        <f t="shared" si="355"/>
        <v>39787.192000000003</v>
      </c>
      <c r="AJ336" s="70">
        <f t="shared" si="356"/>
        <v>41848.840000000004</v>
      </c>
      <c r="AK336" s="70">
        <f t="shared" si="367"/>
        <v>45244.496000000006</v>
      </c>
      <c r="AL336" s="70">
        <f t="shared" si="368"/>
        <v>45321.584000000003</v>
      </c>
      <c r="AN336" s="111" t="s">
        <v>130</v>
      </c>
      <c r="AO336" s="113">
        <f t="shared" ref="AO336:AW336" si="387">H336/H333</f>
        <v>0.11241603084326003</v>
      </c>
      <c r="AP336" s="113">
        <f t="shared" si="387"/>
        <v>0.12596731070055697</v>
      </c>
      <c r="AQ336" s="113">
        <f t="shared" si="387"/>
        <v>0.11302892149649529</v>
      </c>
      <c r="AR336" s="113">
        <f t="shared" si="387"/>
        <v>0.10420852554574887</v>
      </c>
      <c r="AS336" s="113">
        <f t="shared" si="387"/>
        <v>0.1243225495469692</v>
      </c>
      <c r="AT336" s="113">
        <f t="shared" si="387"/>
        <v>0.11456901281575514</v>
      </c>
      <c r="AU336" s="113">
        <f t="shared" si="387"/>
        <v>0.12641099422510782</v>
      </c>
      <c r="AV336" s="113">
        <f t="shared" si="387"/>
        <v>0.13011042159823585</v>
      </c>
      <c r="AW336" s="113">
        <f t="shared" si="387"/>
        <v>0.13128749529038505</v>
      </c>
      <c r="AY336" s="111" t="s">
        <v>130</v>
      </c>
      <c r="AZ336" s="179">
        <f t="shared" si="358"/>
        <v>9.4429465908338426E-3</v>
      </c>
      <c r="BA336" s="179">
        <f t="shared" si="359"/>
        <v>9.825450234643443E-3</v>
      </c>
      <c r="BB336" s="179">
        <f t="shared" si="360"/>
        <v>8.8162558767266325E-3</v>
      </c>
      <c r="BC336" s="179">
        <f t="shared" si="361"/>
        <v>8.7535161458429048E-3</v>
      </c>
      <c r="BD336" s="179">
        <f t="shared" si="362"/>
        <v>1.0443094161945412E-2</v>
      </c>
      <c r="BE336" s="179">
        <f t="shared" si="363"/>
        <v>1.0769487204680983E-2</v>
      </c>
      <c r="BF336" s="179">
        <f t="shared" si="364"/>
        <v>1.112416749180949E-2</v>
      </c>
      <c r="BG336" s="179">
        <f t="shared" si="365"/>
        <v>1.1449717100644756E-2</v>
      </c>
      <c r="BH336" s="179">
        <f t="shared" si="366"/>
        <v>1.1553299585553886E-2</v>
      </c>
    </row>
    <row r="337" spans="2:68" s="108" customFormat="1" x14ac:dyDescent="0.25">
      <c r="B337" s="107"/>
      <c r="E337" s="109" t="s">
        <v>3</v>
      </c>
      <c r="F337" s="110" t="s">
        <v>64</v>
      </c>
      <c r="G337" s="111" t="s">
        <v>131</v>
      </c>
      <c r="H337" s="112">
        <v>880105</v>
      </c>
      <c r="I337" s="112">
        <v>921702</v>
      </c>
      <c r="J337" s="112">
        <v>990131</v>
      </c>
      <c r="K337" s="112">
        <v>1212450</v>
      </c>
      <c r="L337" s="112">
        <v>1266254</v>
      </c>
      <c r="M337" s="112">
        <v>1362480</v>
      </c>
      <c r="N337" s="112">
        <v>1469138</v>
      </c>
      <c r="O337" s="112">
        <v>1514027</v>
      </c>
      <c r="P337" s="112">
        <v>1610623</v>
      </c>
      <c r="R337" s="111" t="s">
        <v>131</v>
      </c>
      <c r="S337" s="220">
        <v>2</v>
      </c>
      <c r="T337" s="220">
        <v>2.2999999999999998</v>
      </c>
      <c r="U337" s="220">
        <v>2</v>
      </c>
      <c r="V337" s="220">
        <v>2.1</v>
      </c>
      <c r="W337" s="220">
        <v>1.8</v>
      </c>
      <c r="X337" s="220">
        <v>1.8</v>
      </c>
      <c r="Y337" s="220">
        <v>1.8</v>
      </c>
      <c r="Z337" s="220">
        <v>2.2999999999999998</v>
      </c>
      <c r="AA337" s="220">
        <v>2</v>
      </c>
      <c r="AC337" s="111" t="s">
        <v>131</v>
      </c>
      <c r="AD337" s="112">
        <f t="shared" si="370"/>
        <v>35204.199999999997</v>
      </c>
      <c r="AE337" s="112">
        <f t="shared" si="351"/>
        <v>42398.291999999994</v>
      </c>
      <c r="AF337" s="112">
        <f t="shared" si="352"/>
        <v>39605.24</v>
      </c>
      <c r="AG337" s="112">
        <f t="shared" si="353"/>
        <v>50922.9</v>
      </c>
      <c r="AH337" s="112">
        <f t="shared" si="354"/>
        <v>45585.144</v>
      </c>
      <c r="AI337" s="112">
        <f t="shared" si="355"/>
        <v>49049.279999999999</v>
      </c>
      <c r="AJ337" s="112">
        <f t="shared" si="356"/>
        <v>52888.968000000001</v>
      </c>
      <c r="AK337" s="112">
        <f t="shared" si="367"/>
        <v>69645.241999999998</v>
      </c>
      <c r="AL337" s="112">
        <f t="shared" si="368"/>
        <v>64424.92</v>
      </c>
      <c r="AN337" s="111" t="s">
        <v>131</v>
      </c>
      <c r="AO337" s="113">
        <f t="shared" ref="AO337:AW337" si="388">H337/H333</f>
        <v>0.3237751355646627</v>
      </c>
      <c r="AP337" s="113">
        <f t="shared" si="388"/>
        <v>0.31597827752616664</v>
      </c>
      <c r="AQ337" s="113">
        <f t="shared" si="388"/>
        <v>0.31881264121289904</v>
      </c>
      <c r="AR337" s="113">
        <f t="shared" si="388"/>
        <v>0.35941078508038388</v>
      </c>
      <c r="AS337" s="113">
        <f t="shared" si="388"/>
        <v>0.35383319245251382</v>
      </c>
      <c r="AT337" s="113">
        <f t="shared" si="388"/>
        <v>0.3687923220777618</v>
      </c>
      <c r="AU337" s="113">
        <f t="shared" si="388"/>
        <v>0.39052306301876011</v>
      </c>
      <c r="AV337" s="113">
        <f t="shared" si="388"/>
        <v>0.38314452287716666</v>
      </c>
      <c r="AW337" s="113">
        <f t="shared" si="388"/>
        <v>0.41057722162543026</v>
      </c>
      <c r="AY337" s="111" t="s">
        <v>131</v>
      </c>
      <c r="AZ337" s="179">
        <f t="shared" si="358"/>
        <v>1.2951005422586507E-2</v>
      </c>
      <c r="BA337" s="179">
        <f t="shared" si="359"/>
        <v>1.4535000766203666E-2</v>
      </c>
      <c r="BB337" s="179">
        <f t="shared" si="360"/>
        <v>1.2752505648515962E-2</v>
      </c>
      <c r="BC337" s="179">
        <f t="shared" si="361"/>
        <v>1.5095252973376123E-2</v>
      </c>
      <c r="BD337" s="179">
        <f t="shared" si="362"/>
        <v>1.2737994928290497E-2</v>
      </c>
      <c r="BE337" s="179">
        <f t="shared" si="363"/>
        <v>1.3276523594799425E-2</v>
      </c>
      <c r="BF337" s="179">
        <f t="shared" si="364"/>
        <v>1.4058830268675365E-2</v>
      </c>
      <c r="BG337" s="179">
        <f t="shared" si="365"/>
        <v>1.7624648052349666E-2</v>
      </c>
      <c r="BH337" s="179">
        <f t="shared" si="366"/>
        <v>1.642308886501721E-2</v>
      </c>
    </row>
    <row r="338" spans="2:68" s="87" customFormat="1" x14ac:dyDescent="0.25">
      <c r="B338" s="84"/>
      <c r="C338" s="85"/>
      <c r="D338" s="85"/>
      <c r="E338" s="109" t="s">
        <v>45</v>
      </c>
      <c r="F338" s="110" t="s">
        <v>64</v>
      </c>
      <c r="G338" s="195" t="s">
        <v>7</v>
      </c>
      <c r="H338" s="69">
        <v>1399693</v>
      </c>
      <c r="I338" s="69">
        <v>1444687</v>
      </c>
      <c r="J338" s="69">
        <v>1492935</v>
      </c>
      <c r="K338" s="69">
        <v>1589704</v>
      </c>
      <c r="L338" s="69">
        <v>1695207</v>
      </c>
      <c r="M338" s="69">
        <v>1799164</v>
      </c>
      <c r="N338" s="69">
        <v>1959763</v>
      </c>
      <c r="O338" s="69">
        <v>2134599</v>
      </c>
      <c r="P338" s="69">
        <v>2288958</v>
      </c>
      <c r="R338" s="195" t="s">
        <v>7</v>
      </c>
      <c r="S338" s="226">
        <v>0.6</v>
      </c>
      <c r="T338" s="226">
        <v>0.8</v>
      </c>
      <c r="U338" s="226">
        <v>0.6</v>
      </c>
      <c r="V338" s="226">
        <v>0.6</v>
      </c>
      <c r="W338" s="226">
        <v>0.6</v>
      </c>
      <c r="X338" s="226">
        <v>0.7</v>
      </c>
      <c r="Y338" s="226">
        <v>0.7</v>
      </c>
      <c r="Z338" s="226">
        <v>0.7</v>
      </c>
      <c r="AA338" s="226">
        <v>0.8</v>
      </c>
      <c r="AC338" s="195" t="s">
        <v>7</v>
      </c>
      <c r="AD338" s="69">
        <f t="shared" si="370"/>
        <v>16796.315999999999</v>
      </c>
      <c r="AE338" s="69">
        <f t="shared" si="351"/>
        <v>23114.992000000002</v>
      </c>
      <c r="AF338" s="69">
        <f t="shared" si="352"/>
        <v>17915.22</v>
      </c>
      <c r="AG338" s="69">
        <f t="shared" si="353"/>
        <v>19076.447999999997</v>
      </c>
      <c r="AH338" s="69">
        <f t="shared" si="354"/>
        <v>20342.484</v>
      </c>
      <c r="AI338" s="69">
        <f t="shared" si="355"/>
        <v>25188.295999999995</v>
      </c>
      <c r="AJ338" s="69">
        <f t="shared" si="356"/>
        <v>27436.681999999997</v>
      </c>
      <c r="AK338" s="69">
        <f t="shared" si="367"/>
        <v>29884.385999999995</v>
      </c>
      <c r="AL338" s="69">
        <f t="shared" si="368"/>
        <v>36623.328000000001</v>
      </c>
      <c r="AN338" s="195" t="s">
        <v>7</v>
      </c>
      <c r="AO338" s="98">
        <f t="shared" ref="AO338:AW338" si="389">H338/H338</f>
        <v>1</v>
      </c>
      <c r="AP338" s="98">
        <f t="shared" si="389"/>
        <v>1</v>
      </c>
      <c r="AQ338" s="98">
        <f t="shared" si="389"/>
        <v>1</v>
      </c>
      <c r="AR338" s="98">
        <f t="shared" si="389"/>
        <v>1</v>
      </c>
      <c r="AS338" s="98">
        <f t="shared" si="389"/>
        <v>1</v>
      </c>
      <c r="AT338" s="98">
        <f t="shared" si="389"/>
        <v>1</v>
      </c>
      <c r="AU338" s="98">
        <f t="shared" si="389"/>
        <v>1</v>
      </c>
      <c r="AV338" s="98">
        <f t="shared" si="389"/>
        <v>1</v>
      </c>
      <c r="AW338" s="98">
        <f t="shared" si="389"/>
        <v>1</v>
      </c>
      <c r="AX338" s="191"/>
      <c r="AY338" s="195" t="s">
        <v>7</v>
      </c>
      <c r="AZ338" s="178">
        <f t="shared" si="358"/>
        <v>1.2E-2</v>
      </c>
      <c r="BA338" s="178">
        <f t="shared" si="359"/>
        <v>1.6E-2</v>
      </c>
      <c r="BB338" s="178">
        <f t="shared" si="360"/>
        <v>1.2E-2</v>
      </c>
      <c r="BC338" s="178">
        <f t="shared" si="361"/>
        <v>1.2E-2</v>
      </c>
      <c r="BD338" s="178">
        <f t="shared" si="362"/>
        <v>1.2E-2</v>
      </c>
      <c r="BE338" s="178">
        <f t="shared" si="363"/>
        <v>1.3999999999999999E-2</v>
      </c>
      <c r="BF338" s="178">
        <f t="shared" si="364"/>
        <v>1.3999999999999999E-2</v>
      </c>
      <c r="BG338" s="178">
        <f t="shared" si="365"/>
        <v>1.3999999999999999E-2</v>
      </c>
      <c r="BH338" s="178">
        <f t="shared" si="366"/>
        <v>1.6E-2</v>
      </c>
      <c r="BI338" s="191"/>
      <c r="BJ338" s="191"/>
      <c r="BK338" s="191"/>
      <c r="BL338" s="191"/>
      <c r="BM338" s="191"/>
      <c r="BN338" s="191"/>
      <c r="BO338" s="191"/>
      <c r="BP338" s="191"/>
    </row>
    <row r="339" spans="2:68" s="108" customFormat="1" x14ac:dyDescent="0.25">
      <c r="B339" s="107"/>
      <c r="E339" s="109" t="s">
        <v>45</v>
      </c>
      <c r="F339" s="110" t="s">
        <v>64</v>
      </c>
      <c r="G339" s="111" t="s">
        <v>54</v>
      </c>
      <c r="H339" s="112">
        <v>163616</v>
      </c>
      <c r="I339" s="112">
        <v>141682</v>
      </c>
      <c r="J339" s="112">
        <v>141159</v>
      </c>
      <c r="K339" s="112">
        <v>147354</v>
      </c>
      <c r="L339" s="112">
        <v>157756</v>
      </c>
      <c r="M339" s="112">
        <v>174681</v>
      </c>
      <c r="N339" s="112">
        <v>177662</v>
      </c>
      <c r="O339" s="112">
        <v>186572</v>
      </c>
      <c r="P339" s="112">
        <v>212317</v>
      </c>
      <c r="R339" s="111" t="s">
        <v>54</v>
      </c>
      <c r="S339" s="220">
        <v>5.9</v>
      </c>
      <c r="T339" s="220">
        <v>6.5</v>
      </c>
      <c r="U339" s="220">
        <v>6.7</v>
      </c>
      <c r="V339" s="220">
        <v>7.1</v>
      </c>
      <c r="W339" s="220">
        <v>6.8</v>
      </c>
      <c r="X339" s="220">
        <v>6.6</v>
      </c>
      <c r="Y339" s="220">
        <v>7.8</v>
      </c>
      <c r="Z339" s="220">
        <v>8.4</v>
      </c>
      <c r="AA339" s="220">
        <v>7.4</v>
      </c>
      <c r="AC339" s="111" t="s">
        <v>54</v>
      </c>
      <c r="AD339" s="112">
        <f t="shared" si="370"/>
        <v>19306.688000000002</v>
      </c>
      <c r="AE339" s="112">
        <f t="shared" si="351"/>
        <v>18418.66</v>
      </c>
      <c r="AF339" s="112">
        <f t="shared" si="352"/>
        <v>18915.306</v>
      </c>
      <c r="AG339" s="112">
        <f t="shared" si="353"/>
        <v>20924.267999999996</v>
      </c>
      <c r="AH339" s="112">
        <f t="shared" si="354"/>
        <v>21454.816000000003</v>
      </c>
      <c r="AI339" s="112">
        <f t="shared" si="355"/>
        <v>23057.891999999996</v>
      </c>
      <c r="AJ339" s="112">
        <f t="shared" si="356"/>
        <v>27715.271999999997</v>
      </c>
      <c r="AK339" s="112">
        <f t="shared" si="367"/>
        <v>31344.096000000001</v>
      </c>
      <c r="AL339" s="112">
        <f t="shared" si="368"/>
        <v>31422.916000000001</v>
      </c>
      <c r="AN339" s="111" t="s">
        <v>54</v>
      </c>
      <c r="AO339" s="113">
        <f t="shared" ref="AO339:AW339" si="390">H339/H338</f>
        <v>0.11689420465773566</v>
      </c>
      <c r="AP339" s="113">
        <f t="shared" si="390"/>
        <v>9.8071070065695889E-2</v>
      </c>
      <c r="AQ339" s="113">
        <f t="shared" si="390"/>
        <v>9.4551336796310628E-2</v>
      </c>
      <c r="AR339" s="113">
        <f t="shared" si="390"/>
        <v>9.2692727702767305E-2</v>
      </c>
      <c r="AS339" s="113">
        <f t="shared" si="390"/>
        <v>9.3060021578485697E-2</v>
      </c>
      <c r="AT339" s="113">
        <f t="shared" si="390"/>
        <v>9.7090092954283211E-2</v>
      </c>
      <c r="AU339" s="113">
        <f t="shared" si="390"/>
        <v>9.065483938619108E-2</v>
      </c>
      <c r="AV339" s="113">
        <f t="shared" si="390"/>
        <v>8.7403769982090318E-2</v>
      </c>
      <c r="AW339" s="113">
        <f t="shared" si="390"/>
        <v>9.2757053646244272E-2</v>
      </c>
      <c r="AY339" s="111" t="s">
        <v>54</v>
      </c>
      <c r="AZ339" s="179">
        <f t="shared" si="358"/>
        <v>1.3793516149612807E-2</v>
      </c>
      <c r="BA339" s="179">
        <f t="shared" si="359"/>
        <v>1.2749239108540467E-2</v>
      </c>
      <c r="BB339" s="179">
        <f t="shared" si="360"/>
        <v>1.2669879130705624E-2</v>
      </c>
      <c r="BC339" s="179">
        <f t="shared" si="361"/>
        <v>1.3162367333792956E-2</v>
      </c>
      <c r="BD339" s="179">
        <f t="shared" si="362"/>
        <v>1.2656162934674054E-2</v>
      </c>
      <c r="BE339" s="179">
        <f t="shared" si="363"/>
        <v>1.2815892269965384E-2</v>
      </c>
      <c r="BF339" s="179">
        <f t="shared" si="364"/>
        <v>1.4142154944245809E-2</v>
      </c>
      <c r="BG339" s="179">
        <f t="shared" si="365"/>
        <v>1.4683833356991173E-2</v>
      </c>
      <c r="BH339" s="179">
        <f t="shared" si="366"/>
        <v>1.3728043939644153E-2</v>
      </c>
    </row>
    <row r="340" spans="2:68" s="108" customFormat="1" x14ac:dyDescent="0.25">
      <c r="B340" s="107"/>
      <c r="E340" s="109" t="s">
        <v>45</v>
      </c>
      <c r="F340" s="110" t="s">
        <v>64</v>
      </c>
      <c r="G340" s="111" t="s">
        <v>55</v>
      </c>
      <c r="H340" s="70">
        <v>562001</v>
      </c>
      <c r="I340" s="70">
        <v>606874</v>
      </c>
      <c r="J340" s="70">
        <v>627497</v>
      </c>
      <c r="K340" s="70">
        <v>659943</v>
      </c>
      <c r="L340" s="70">
        <v>685654</v>
      </c>
      <c r="M340" s="70">
        <v>737063</v>
      </c>
      <c r="N340" s="70">
        <v>785349</v>
      </c>
      <c r="O340" s="112">
        <v>834212</v>
      </c>
      <c r="P340" s="112">
        <v>895916</v>
      </c>
      <c r="R340" s="111" t="s">
        <v>55</v>
      </c>
      <c r="S340" s="81">
        <v>2.6</v>
      </c>
      <c r="T340" s="81">
        <v>2.7</v>
      </c>
      <c r="U340" s="81">
        <v>2.7</v>
      </c>
      <c r="V340" s="81">
        <v>2.8</v>
      </c>
      <c r="W340" s="81">
        <v>3.1</v>
      </c>
      <c r="X340" s="81">
        <v>3.4</v>
      </c>
      <c r="Y340" s="81">
        <v>2.5</v>
      </c>
      <c r="Z340" s="81">
        <v>3.1</v>
      </c>
      <c r="AA340" s="81">
        <v>3.2</v>
      </c>
      <c r="AC340" s="111" t="s">
        <v>55</v>
      </c>
      <c r="AD340" s="70">
        <f t="shared" si="370"/>
        <v>29224.052000000003</v>
      </c>
      <c r="AE340" s="70">
        <f t="shared" si="351"/>
        <v>32771.196000000004</v>
      </c>
      <c r="AF340" s="70">
        <f t="shared" si="352"/>
        <v>33884.838000000003</v>
      </c>
      <c r="AG340" s="70">
        <f t="shared" si="353"/>
        <v>36956.807999999997</v>
      </c>
      <c r="AH340" s="70">
        <f t="shared" si="354"/>
        <v>42510.547999999995</v>
      </c>
      <c r="AI340" s="70">
        <f t="shared" si="355"/>
        <v>50120.283999999992</v>
      </c>
      <c r="AJ340" s="70">
        <f t="shared" si="356"/>
        <v>39267.449999999997</v>
      </c>
      <c r="AK340" s="70">
        <f t="shared" si="367"/>
        <v>51721.144</v>
      </c>
      <c r="AL340" s="70">
        <f t="shared" si="368"/>
        <v>57338.624000000003</v>
      </c>
      <c r="AN340" s="111" t="s">
        <v>55</v>
      </c>
      <c r="AO340" s="113">
        <f t="shared" ref="AO340:AW340" si="391">H340/H338</f>
        <v>0.40151733272939139</v>
      </c>
      <c r="AP340" s="113">
        <f t="shared" si="391"/>
        <v>0.4200729985110962</v>
      </c>
      <c r="AQ340" s="113">
        <f t="shared" si="391"/>
        <v>0.42031099813454703</v>
      </c>
      <c r="AR340" s="113">
        <f t="shared" si="391"/>
        <v>0.41513577370378385</v>
      </c>
      <c r="AS340" s="113">
        <f t="shared" si="391"/>
        <v>0.40446623922624197</v>
      </c>
      <c r="AT340" s="113">
        <f t="shared" si="391"/>
        <v>0.40966971326682838</v>
      </c>
      <c r="AU340" s="113">
        <f t="shared" si="391"/>
        <v>0.40073672173625074</v>
      </c>
      <c r="AV340" s="113">
        <f t="shared" si="391"/>
        <v>0.3908050177105864</v>
      </c>
      <c r="AW340" s="113">
        <f t="shared" si="391"/>
        <v>0.39140779341516968</v>
      </c>
      <c r="AY340" s="111" t="s">
        <v>55</v>
      </c>
      <c r="AZ340" s="179">
        <f t="shared" si="358"/>
        <v>2.0878901301928356E-2</v>
      </c>
      <c r="BA340" s="179">
        <f t="shared" si="359"/>
        <v>2.2683941919599198E-2</v>
      </c>
      <c r="BB340" s="179">
        <f t="shared" si="360"/>
        <v>2.269679389926554E-2</v>
      </c>
      <c r="BC340" s="179">
        <f t="shared" si="361"/>
        <v>2.3247603327411891E-2</v>
      </c>
      <c r="BD340" s="179">
        <f t="shared" si="362"/>
        <v>2.5076906832027002E-2</v>
      </c>
      <c r="BE340" s="179">
        <f t="shared" si="363"/>
        <v>2.785754050214433E-2</v>
      </c>
      <c r="BF340" s="179">
        <f t="shared" si="364"/>
        <v>2.0036836086812535E-2</v>
      </c>
      <c r="BG340" s="179">
        <f t="shared" si="365"/>
        <v>2.4229911098056358E-2</v>
      </c>
      <c r="BH340" s="179">
        <f t="shared" si="366"/>
        <v>2.505009877857086E-2</v>
      </c>
    </row>
    <row r="341" spans="2:68" s="108" customFormat="1" x14ac:dyDescent="0.25">
      <c r="B341" s="107"/>
      <c r="E341" s="109" t="s">
        <v>45</v>
      </c>
      <c r="F341" s="110" t="s">
        <v>64</v>
      </c>
      <c r="G341" s="111" t="s">
        <v>130</v>
      </c>
      <c r="H341" s="70">
        <v>143676</v>
      </c>
      <c r="I341" s="70">
        <v>162790</v>
      </c>
      <c r="J341" s="70">
        <v>156402</v>
      </c>
      <c r="K341" s="70">
        <v>147465</v>
      </c>
      <c r="L341" s="70">
        <v>172679</v>
      </c>
      <c r="M341" s="70">
        <v>185657</v>
      </c>
      <c r="N341" s="70">
        <v>207191</v>
      </c>
      <c r="O341" s="112">
        <v>224325</v>
      </c>
      <c r="P341" s="112">
        <v>255307</v>
      </c>
      <c r="R341" s="111" t="s">
        <v>130</v>
      </c>
      <c r="S341" s="220">
        <v>6.5</v>
      </c>
      <c r="T341" s="220">
        <v>5.9</v>
      </c>
      <c r="U341" s="220">
        <v>6</v>
      </c>
      <c r="V341" s="220">
        <v>7.1</v>
      </c>
      <c r="W341" s="220">
        <v>6.8</v>
      </c>
      <c r="X341" s="220">
        <v>7.7</v>
      </c>
      <c r="Y341" s="220">
        <v>6.6</v>
      </c>
      <c r="Z341" s="220">
        <v>7.1</v>
      </c>
      <c r="AA341" s="220">
        <v>6.5</v>
      </c>
      <c r="AC341" s="111" t="s">
        <v>130</v>
      </c>
      <c r="AD341" s="70">
        <f t="shared" si="370"/>
        <v>18677.88</v>
      </c>
      <c r="AE341" s="70">
        <f t="shared" si="351"/>
        <v>19209.22</v>
      </c>
      <c r="AF341" s="70">
        <f t="shared" si="352"/>
        <v>18768.240000000002</v>
      </c>
      <c r="AG341" s="70">
        <f t="shared" si="353"/>
        <v>20940.03</v>
      </c>
      <c r="AH341" s="70">
        <f t="shared" si="354"/>
        <v>23484.343999999997</v>
      </c>
      <c r="AI341" s="70">
        <f t="shared" si="355"/>
        <v>28591.178000000004</v>
      </c>
      <c r="AJ341" s="70">
        <f t="shared" si="356"/>
        <v>27349.211999999996</v>
      </c>
      <c r="AK341" s="70">
        <f t="shared" si="367"/>
        <v>31854.15</v>
      </c>
      <c r="AL341" s="70">
        <f t="shared" si="368"/>
        <v>33189.910000000003</v>
      </c>
      <c r="AN341" s="111" t="s">
        <v>130</v>
      </c>
      <c r="AO341" s="113">
        <f t="shared" ref="AO341:AW341" si="392">H341/H338</f>
        <v>0.10264822357474103</v>
      </c>
      <c r="AP341" s="113">
        <f t="shared" si="392"/>
        <v>0.11268184734824914</v>
      </c>
      <c r="AQ341" s="113">
        <f t="shared" si="392"/>
        <v>0.10476142631795758</v>
      </c>
      <c r="AR341" s="113">
        <f t="shared" si="392"/>
        <v>9.2762552022263259E-2</v>
      </c>
      <c r="AS341" s="113">
        <f t="shared" si="392"/>
        <v>0.10186307630867499</v>
      </c>
      <c r="AT341" s="113">
        <f t="shared" si="392"/>
        <v>0.10319070412702788</v>
      </c>
      <c r="AU341" s="113">
        <f t="shared" si="392"/>
        <v>0.10572247766694239</v>
      </c>
      <c r="AV341" s="113">
        <f t="shared" si="392"/>
        <v>0.10508999582591391</v>
      </c>
      <c r="AW341" s="113">
        <f t="shared" si="392"/>
        <v>0.1115385253901557</v>
      </c>
      <c r="AY341" s="111" t="s">
        <v>130</v>
      </c>
      <c r="AZ341" s="179">
        <f t="shared" si="358"/>
        <v>1.3344269064716334E-2</v>
      </c>
      <c r="BA341" s="179">
        <f t="shared" si="359"/>
        <v>1.3296457987093399E-2</v>
      </c>
      <c r="BB341" s="179">
        <f t="shared" si="360"/>
        <v>1.2571371158154909E-2</v>
      </c>
      <c r="BC341" s="179">
        <f t="shared" si="361"/>
        <v>1.3172282387161383E-2</v>
      </c>
      <c r="BD341" s="179">
        <f t="shared" si="362"/>
        <v>1.3853378377979796E-2</v>
      </c>
      <c r="BE341" s="179">
        <f t="shared" si="363"/>
        <v>1.5891368435562294E-2</v>
      </c>
      <c r="BF341" s="179">
        <f t="shared" si="364"/>
        <v>1.3955367052036394E-2</v>
      </c>
      <c r="BG341" s="179">
        <f t="shared" si="365"/>
        <v>1.4922779407279773E-2</v>
      </c>
      <c r="BH341" s="179">
        <f t="shared" si="366"/>
        <v>1.4500008300720242E-2</v>
      </c>
    </row>
    <row r="342" spans="2:68" s="108" customFormat="1" x14ac:dyDescent="0.25">
      <c r="B342" s="107"/>
      <c r="E342" s="109" t="s">
        <v>45</v>
      </c>
      <c r="F342" s="110" t="s">
        <v>64</v>
      </c>
      <c r="G342" s="111" t="s">
        <v>131</v>
      </c>
      <c r="H342" s="112">
        <v>529841</v>
      </c>
      <c r="I342" s="112">
        <v>532445</v>
      </c>
      <c r="J342" s="112">
        <v>566094</v>
      </c>
      <c r="K342" s="112">
        <v>631319</v>
      </c>
      <c r="L342" s="112">
        <v>679117</v>
      </c>
      <c r="M342" s="112">
        <v>701764</v>
      </c>
      <c r="N342" s="112">
        <v>789562</v>
      </c>
      <c r="O342" s="112">
        <v>889490</v>
      </c>
      <c r="P342" s="112">
        <v>925418</v>
      </c>
      <c r="R342" s="111" t="s">
        <v>131</v>
      </c>
      <c r="S342" s="220">
        <v>2.7</v>
      </c>
      <c r="T342" s="220">
        <v>2.8</v>
      </c>
      <c r="U342" s="220">
        <v>2.9</v>
      </c>
      <c r="V342" s="220">
        <v>2.9</v>
      </c>
      <c r="W342" s="220">
        <v>2.5</v>
      </c>
      <c r="X342" s="220">
        <v>2.1</v>
      </c>
      <c r="Y342" s="220">
        <v>2</v>
      </c>
      <c r="Z342" s="220">
        <v>3</v>
      </c>
      <c r="AA342" s="220">
        <v>3.2</v>
      </c>
      <c r="AC342" s="111" t="s">
        <v>131</v>
      </c>
      <c r="AD342" s="112">
        <f t="shared" si="370"/>
        <v>28611.414000000004</v>
      </c>
      <c r="AE342" s="112">
        <f t="shared" si="351"/>
        <v>29816.92</v>
      </c>
      <c r="AF342" s="112">
        <f t="shared" si="352"/>
        <v>32833.451999999997</v>
      </c>
      <c r="AG342" s="112">
        <f t="shared" si="353"/>
        <v>36616.502</v>
      </c>
      <c r="AH342" s="112">
        <f t="shared" si="354"/>
        <v>33955.85</v>
      </c>
      <c r="AI342" s="112">
        <f t="shared" si="355"/>
        <v>29474.088000000003</v>
      </c>
      <c r="AJ342" s="112">
        <f t="shared" si="356"/>
        <v>31582.48</v>
      </c>
      <c r="AK342" s="112">
        <f t="shared" si="367"/>
        <v>53369.4</v>
      </c>
      <c r="AL342" s="112">
        <f t="shared" si="368"/>
        <v>59226.752</v>
      </c>
      <c r="AN342" s="111" t="s">
        <v>131</v>
      </c>
      <c r="AO342" s="113">
        <f t="shared" ref="AO342:AW342" si="393">H342/H338</f>
        <v>0.37854086574698881</v>
      </c>
      <c r="AP342" s="113">
        <f t="shared" si="393"/>
        <v>0.36855388052913884</v>
      </c>
      <c r="AQ342" s="113">
        <f t="shared" si="393"/>
        <v>0.37918194697022978</v>
      </c>
      <c r="AR342" s="113">
        <f t="shared" si="393"/>
        <v>0.3971299059447545</v>
      </c>
      <c r="AS342" s="113">
        <f t="shared" si="393"/>
        <v>0.40061007298813656</v>
      </c>
      <c r="AT342" s="113">
        <f t="shared" si="393"/>
        <v>0.39005004546556066</v>
      </c>
      <c r="AU342" s="113">
        <f t="shared" si="393"/>
        <v>0.40288647147639789</v>
      </c>
      <c r="AV342" s="113">
        <f t="shared" si="393"/>
        <v>0.4167012164814094</v>
      </c>
      <c r="AW342" s="113">
        <f t="shared" si="393"/>
        <v>0.40429662754843032</v>
      </c>
      <c r="AY342" s="111" t="s">
        <v>131</v>
      </c>
      <c r="AZ342" s="179">
        <f t="shared" si="358"/>
        <v>2.0441206750337396E-2</v>
      </c>
      <c r="BA342" s="179">
        <f t="shared" si="359"/>
        <v>2.0639017309631774E-2</v>
      </c>
      <c r="BB342" s="179">
        <f t="shared" si="360"/>
        <v>2.1992552924273327E-2</v>
      </c>
      <c r="BC342" s="179">
        <f t="shared" si="361"/>
        <v>2.3033534544795762E-2</v>
      </c>
      <c r="BD342" s="179">
        <f t="shared" si="362"/>
        <v>2.0030503649406829E-2</v>
      </c>
      <c r="BE342" s="179">
        <f t="shared" si="363"/>
        <v>1.6382101909553547E-2</v>
      </c>
      <c r="BF342" s="179">
        <f t="shared" si="364"/>
        <v>1.6115458859055916E-2</v>
      </c>
      <c r="BG342" s="179">
        <f t="shared" si="365"/>
        <v>2.5002072988884561E-2</v>
      </c>
      <c r="BH342" s="179">
        <f t="shared" si="366"/>
        <v>2.5874984163099541E-2</v>
      </c>
    </row>
    <row r="343" spans="2:68" s="87" customFormat="1" x14ac:dyDescent="0.25">
      <c r="B343" s="84"/>
      <c r="C343" s="85"/>
      <c r="D343" s="85"/>
      <c r="E343" s="109" t="s">
        <v>46</v>
      </c>
      <c r="F343" s="110" t="s">
        <v>64</v>
      </c>
      <c r="G343" s="195" t="s">
        <v>7</v>
      </c>
      <c r="H343" s="69">
        <v>9877293</v>
      </c>
      <c r="I343" s="69">
        <v>10278738</v>
      </c>
      <c r="J343" s="69">
        <v>10570076</v>
      </c>
      <c r="K343" s="69">
        <v>10935120</v>
      </c>
      <c r="L343" s="69">
        <v>11207344</v>
      </c>
      <c r="M343" s="69">
        <v>11453381</v>
      </c>
      <c r="N343" s="69">
        <v>11682113</v>
      </c>
      <c r="O343" s="69">
        <v>11825183</v>
      </c>
      <c r="P343" s="69">
        <v>12173621</v>
      </c>
      <c r="R343" s="195" t="s">
        <v>7</v>
      </c>
      <c r="S343" s="226">
        <v>0.3</v>
      </c>
      <c r="T343" s="226">
        <v>0.3</v>
      </c>
      <c r="U343" s="226">
        <v>0.3</v>
      </c>
      <c r="V343" s="226">
        <v>0.3</v>
      </c>
      <c r="W343" s="226">
        <v>0.3</v>
      </c>
      <c r="X343" s="226">
        <v>0.3</v>
      </c>
      <c r="Y343" s="226">
        <v>0.3</v>
      </c>
      <c r="Z343" s="226">
        <v>0.3</v>
      </c>
      <c r="AA343" s="226">
        <v>0.4</v>
      </c>
      <c r="AC343" s="195" t="s">
        <v>7</v>
      </c>
      <c r="AD343" s="69">
        <f t="shared" si="370"/>
        <v>59263.758000000002</v>
      </c>
      <c r="AE343" s="69">
        <f t="shared" si="351"/>
        <v>61672.428</v>
      </c>
      <c r="AF343" s="69">
        <f t="shared" si="352"/>
        <v>63420.455999999998</v>
      </c>
      <c r="AG343" s="69">
        <f t="shared" si="353"/>
        <v>65610.720000000001</v>
      </c>
      <c r="AH343" s="69">
        <f t="shared" si="354"/>
        <v>67244.063999999998</v>
      </c>
      <c r="AI343" s="69">
        <f t="shared" si="355"/>
        <v>68720.285999999993</v>
      </c>
      <c r="AJ343" s="69">
        <f t="shared" si="356"/>
        <v>70092.678</v>
      </c>
      <c r="AK343" s="69">
        <f t="shared" si="367"/>
        <v>70951.097999999998</v>
      </c>
      <c r="AL343" s="69">
        <f t="shared" si="368"/>
        <v>97388.968000000008</v>
      </c>
      <c r="AN343" s="195" t="s">
        <v>7</v>
      </c>
      <c r="AO343" s="98">
        <f t="shared" ref="AO343:AW343" si="394">H343/H343</f>
        <v>1</v>
      </c>
      <c r="AP343" s="98">
        <f t="shared" si="394"/>
        <v>1</v>
      </c>
      <c r="AQ343" s="98">
        <f t="shared" si="394"/>
        <v>1</v>
      </c>
      <c r="AR343" s="98">
        <f t="shared" si="394"/>
        <v>1</v>
      </c>
      <c r="AS343" s="98">
        <f t="shared" si="394"/>
        <v>1</v>
      </c>
      <c r="AT343" s="98">
        <f t="shared" si="394"/>
        <v>1</v>
      </c>
      <c r="AU343" s="98">
        <f t="shared" si="394"/>
        <v>1</v>
      </c>
      <c r="AV343" s="98">
        <f t="shared" si="394"/>
        <v>1</v>
      </c>
      <c r="AW343" s="98">
        <f t="shared" si="394"/>
        <v>1</v>
      </c>
      <c r="AX343" s="191"/>
      <c r="AY343" s="195" t="s">
        <v>7</v>
      </c>
      <c r="AZ343" s="178">
        <f t="shared" si="358"/>
        <v>6.0000000000000001E-3</v>
      </c>
      <c r="BA343" s="178">
        <f t="shared" si="359"/>
        <v>6.0000000000000001E-3</v>
      </c>
      <c r="BB343" s="178">
        <f t="shared" si="360"/>
        <v>6.0000000000000001E-3</v>
      </c>
      <c r="BC343" s="178">
        <f t="shared" si="361"/>
        <v>6.0000000000000001E-3</v>
      </c>
      <c r="BD343" s="178">
        <f t="shared" si="362"/>
        <v>6.0000000000000001E-3</v>
      </c>
      <c r="BE343" s="178">
        <f t="shared" si="363"/>
        <v>6.0000000000000001E-3</v>
      </c>
      <c r="BF343" s="178">
        <f t="shared" si="364"/>
        <v>6.0000000000000001E-3</v>
      </c>
      <c r="BG343" s="178">
        <f t="shared" si="365"/>
        <v>6.0000000000000001E-3</v>
      </c>
      <c r="BH343" s="178">
        <f t="shared" si="366"/>
        <v>8.0000000000000002E-3</v>
      </c>
      <c r="BI343" s="191"/>
      <c r="BJ343" s="191"/>
      <c r="BK343" s="191"/>
      <c r="BL343" s="191"/>
      <c r="BM343" s="191"/>
      <c r="BN343" s="191"/>
      <c r="BO343" s="191"/>
      <c r="BP343" s="191"/>
    </row>
    <row r="344" spans="2:68" s="108" customFormat="1" x14ac:dyDescent="0.25">
      <c r="B344" s="107"/>
      <c r="E344" s="109" t="s">
        <v>46</v>
      </c>
      <c r="F344" s="110" t="s">
        <v>64</v>
      </c>
      <c r="G344" s="111" t="s">
        <v>54</v>
      </c>
      <c r="H344" s="112">
        <v>2418640</v>
      </c>
      <c r="I344" s="112">
        <v>2272785</v>
      </c>
      <c r="J344" s="112">
        <v>2187215</v>
      </c>
      <c r="K344" s="112">
        <v>2209022</v>
      </c>
      <c r="L344" s="112">
        <v>2108523</v>
      </c>
      <c r="M344" s="112">
        <v>2174158</v>
      </c>
      <c r="N344" s="112">
        <v>2048050</v>
      </c>
      <c r="O344" s="112">
        <v>1979675</v>
      </c>
      <c r="P344" s="112">
        <v>1861907</v>
      </c>
      <c r="R344" s="111" t="s">
        <v>54</v>
      </c>
      <c r="S344" s="220">
        <v>1.5</v>
      </c>
      <c r="T344" s="220">
        <v>1.5</v>
      </c>
      <c r="U344" s="220">
        <v>1.5</v>
      </c>
      <c r="V344" s="220">
        <v>1.6</v>
      </c>
      <c r="W344" s="220">
        <v>1.3</v>
      </c>
      <c r="X344" s="220">
        <v>1.5</v>
      </c>
      <c r="Y344" s="220">
        <v>1.6</v>
      </c>
      <c r="Z344" s="220">
        <v>2.6</v>
      </c>
      <c r="AA344" s="220">
        <v>2.6</v>
      </c>
      <c r="AC344" s="111" t="s">
        <v>54</v>
      </c>
      <c r="AD344" s="112">
        <f t="shared" si="370"/>
        <v>72559.199999999997</v>
      </c>
      <c r="AE344" s="112">
        <f t="shared" si="351"/>
        <v>68183.55</v>
      </c>
      <c r="AF344" s="112">
        <f t="shared" si="352"/>
        <v>65616.45</v>
      </c>
      <c r="AG344" s="112">
        <f t="shared" si="353"/>
        <v>70688.703999999998</v>
      </c>
      <c r="AH344" s="112">
        <f t="shared" si="354"/>
        <v>54821.597999999998</v>
      </c>
      <c r="AI344" s="112">
        <f t="shared" si="355"/>
        <v>65224.74</v>
      </c>
      <c r="AJ344" s="112">
        <f t="shared" si="356"/>
        <v>65537.600000000006</v>
      </c>
      <c r="AK344" s="112">
        <f t="shared" si="367"/>
        <v>102943.1</v>
      </c>
      <c r="AL344" s="112">
        <f t="shared" si="368"/>
        <v>96819.164000000004</v>
      </c>
      <c r="AN344" s="111" t="s">
        <v>54</v>
      </c>
      <c r="AO344" s="113">
        <f t="shared" ref="AO344:AW344" si="395">H344/H343</f>
        <v>0.24486871048575759</v>
      </c>
      <c r="AP344" s="113">
        <f t="shared" si="395"/>
        <v>0.22111517970396755</v>
      </c>
      <c r="AQ344" s="113">
        <f t="shared" si="395"/>
        <v>0.20692519145557706</v>
      </c>
      <c r="AR344" s="113">
        <f t="shared" si="395"/>
        <v>0.20201168345660586</v>
      </c>
      <c r="AS344" s="113">
        <f t="shared" si="395"/>
        <v>0.18813761761930392</v>
      </c>
      <c r="AT344" s="113">
        <f t="shared" si="395"/>
        <v>0.18982674198998531</v>
      </c>
      <c r="AU344" s="113">
        <f t="shared" si="395"/>
        <v>0.17531503076541033</v>
      </c>
      <c r="AV344" s="113">
        <f t="shared" si="395"/>
        <v>0.16741178550894306</v>
      </c>
      <c r="AW344" s="113">
        <f t="shared" si="395"/>
        <v>0.15294602978029298</v>
      </c>
      <c r="AY344" s="111" t="s">
        <v>54</v>
      </c>
      <c r="AZ344" s="179">
        <f t="shared" si="358"/>
        <v>7.3460613145727273E-3</v>
      </c>
      <c r="BA344" s="179">
        <f t="shared" si="359"/>
        <v>6.633455391119026E-3</v>
      </c>
      <c r="BB344" s="179">
        <f t="shared" si="360"/>
        <v>6.2077557436673115E-3</v>
      </c>
      <c r="BC344" s="179">
        <f t="shared" si="361"/>
        <v>6.4643738706113884E-3</v>
      </c>
      <c r="BD344" s="179">
        <f t="shared" si="362"/>
        <v>4.8915780581019024E-3</v>
      </c>
      <c r="BE344" s="179">
        <f t="shared" si="363"/>
        <v>5.6948022596995593E-3</v>
      </c>
      <c r="BF344" s="179">
        <f t="shared" si="364"/>
        <v>5.610080984493131E-3</v>
      </c>
      <c r="BG344" s="179">
        <f t="shared" si="365"/>
        <v>8.7054128464650396E-3</v>
      </c>
      <c r="BH344" s="179">
        <f t="shared" si="366"/>
        <v>7.9531935485752346E-3</v>
      </c>
    </row>
    <row r="345" spans="2:68" s="108" customFormat="1" x14ac:dyDescent="0.25">
      <c r="B345" s="107"/>
      <c r="E345" s="109" t="s">
        <v>46</v>
      </c>
      <c r="F345" s="110" t="s">
        <v>64</v>
      </c>
      <c r="G345" s="111" t="s">
        <v>55</v>
      </c>
      <c r="H345" s="70">
        <v>2272612</v>
      </c>
      <c r="I345" s="70">
        <v>2422033</v>
      </c>
      <c r="J345" s="70">
        <v>2534515</v>
      </c>
      <c r="K345" s="70">
        <v>2563603</v>
      </c>
      <c r="L345" s="70">
        <v>2463386</v>
      </c>
      <c r="M345" s="70">
        <v>2556219</v>
      </c>
      <c r="N345" s="70">
        <v>2561238</v>
      </c>
      <c r="O345" s="112">
        <v>2581462</v>
      </c>
      <c r="P345" s="112">
        <v>2638858</v>
      </c>
      <c r="R345" s="111" t="s">
        <v>55</v>
      </c>
      <c r="S345" s="81">
        <v>1.5</v>
      </c>
      <c r="T345" s="81">
        <v>1.5</v>
      </c>
      <c r="U345" s="81">
        <v>1.5</v>
      </c>
      <c r="V345" s="81">
        <v>1.6</v>
      </c>
      <c r="W345" s="81">
        <v>1.8</v>
      </c>
      <c r="X345" s="81">
        <v>2</v>
      </c>
      <c r="Y345" s="81">
        <v>1.6</v>
      </c>
      <c r="Z345" s="81">
        <v>2.2000000000000002</v>
      </c>
      <c r="AA345" s="81">
        <v>2.2000000000000002</v>
      </c>
      <c r="AC345" s="111" t="s">
        <v>55</v>
      </c>
      <c r="AD345" s="70">
        <f t="shared" si="370"/>
        <v>68178.36</v>
      </c>
      <c r="AE345" s="70">
        <f t="shared" si="351"/>
        <v>72660.990000000005</v>
      </c>
      <c r="AF345" s="70">
        <f t="shared" si="352"/>
        <v>76035.45</v>
      </c>
      <c r="AG345" s="70">
        <f t="shared" si="353"/>
        <v>82035.296000000002</v>
      </c>
      <c r="AH345" s="70">
        <f t="shared" si="354"/>
        <v>88681.895999999993</v>
      </c>
      <c r="AI345" s="70">
        <f t="shared" si="355"/>
        <v>102248.76</v>
      </c>
      <c r="AJ345" s="70">
        <f t="shared" si="356"/>
        <v>81959.616000000009</v>
      </c>
      <c r="AK345" s="70">
        <f t="shared" si="367"/>
        <v>113584.32800000001</v>
      </c>
      <c r="AL345" s="70">
        <f t="shared" si="368"/>
        <v>116109.75200000001</v>
      </c>
      <c r="AN345" s="111" t="s">
        <v>55</v>
      </c>
      <c r="AO345" s="113">
        <f t="shared" ref="AO345:AW345" si="396">H345/H343</f>
        <v>0.23008449784774027</v>
      </c>
      <c r="AP345" s="113">
        <f t="shared" si="396"/>
        <v>0.23563525016397927</v>
      </c>
      <c r="AQ345" s="113">
        <f t="shared" si="396"/>
        <v>0.2397820980662769</v>
      </c>
      <c r="AR345" s="113">
        <f t="shared" si="396"/>
        <v>0.23443757361601886</v>
      </c>
      <c r="AS345" s="113">
        <f t="shared" si="396"/>
        <v>0.21980105188169471</v>
      </c>
      <c r="AT345" s="113">
        <f t="shared" si="396"/>
        <v>0.22318466486009678</v>
      </c>
      <c r="AU345" s="113">
        <f t="shared" si="396"/>
        <v>0.21924441237642539</v>
      </c>
      <c r="AV345" s="113">
        <f t="shared" si="396"/>
        <v>0.21830207617082967</v>
      </c>
      <c r="AW345" s="113">
        <f t="shared" si="396"/>
        <v>0.21676853583662575</v>
      </c>
      <c r="AY345" s="111" t="s">
        <v>55</v>
      </c>
      <c r="AZ345" s="179">
        <f t="shared" si="358"/>
        <v>6.9025349354322075E-3</v>
      </c>
      <c r="BA345" s="179">
        <f t="shared" si="359"/>
        <v>7.0690575049193781E-3</v>
      </c>
      <c r="BB345" s="179">
        <f t="shared" si="360"/>
        <v>7.1934629419883071E-3</v>
      </c>
      <c r="BC345" s="179">
        <f t="shared" si="361"/>
        <v>7.5020023557126033E-3</v>
      </c>
      <c r="BD345" s="179">
        <f t="shared" si="362"/>
        <v>7.9128378677410099E-3</v>
      </c>
      <c r="BE345" s="179">
        <f t="shared" si="363"/>
        <v>8.9273865944038706E-3</v>
      </c>
      <c r="BF345" s="179">
        <f t="shared" si="364"/>
        <v>7.0158211960456131E-3</v>
      </c>
      <c r="BG345" s="179">
        <f t="shared" si="365"/>
        <v>9.6052913515165053E-3</v>
      </c>
      <c r="BH345" s="179">
        <f t="shared" si="366"/>
        <v>9.5378155768115341E-3</v>
      </c>
    </row>
    <row r="346" spans="2:68" s="108" customFormat="1" x14ac:dyDescent="0.25">
      <c r="B346" s="107"/>
      <c r="E346" s="109" t="s">
        <v>46</v>
      </c>
      <c r="F346" s="110" t="s">
        <v>64</v>
      </c>
      <c r="G346" s="111" t="s">
        <v>130</v>
      </c>
      <c r="H346" s="70">
        <v>1193768</v>
      </c>
      <c r="I346" s="70">
        <v>1344779</v>
      </c>
      <c r="J346" s="70">
        <v>1287348</v>
      </c>
      <c r="K346" s="70">
        <v>1210557</v>
      </c>
      <c r="L346" s="70">
        <v>1337270</v>
      </c>
      <c r="M346" s="70">
        <v>1295480</v>
      </c>
      <c r="N346" s="70">
        <v>1406914</v>
      </c>
      <c r="O346" s="112">
        <v>1428990</v>
      </c>
      <c r="P346" s="112">
        <v>1489142</v>
      </c>
      <c r="R346" s="111" t="s">
        <v>130</v>
      </c>
      <c r="S346" s="220">
        <v>2.2000000000000002</v>
      </c>
      <c r="T346" s="220">
        <v>2.2999999999999998</v>
      </c>
      <c r="U346" s="220">
        <v>2.2999999999999998</v>
      </c>
      <c r="V346" s="220">
        <v>2.4</v>
      </c>
      <c r="W346" s="220">
        <v>2.6</v>
      </c>
      <c r="X346" s="220">
        <v>3</v>
      </c>
      <c r="Y346" s="220">
        <v>3</v>
      </c>
      <c r="Z346" s="220">
        <v>3.3</v>
      </c>
      <c r="AA346" s="220">
        <v>3.3</v>
      </c>
      <c r="AC346" s="111" t="s">
        <v>130</v>
      </c>
      <c r="AD346" s="70">
        <f t="shared" si="370"/>
        <v>52525.792000000001</v>
      </c>
      <c r="AE346" s="70">
        <f t="shared" si="351"/>
        <v>61859.833999999995</v>
      </c>
      <c r="AF346" s="70">
        <f t="shared" si="352"/>
        <v>59218.008000000002</v>
      </c>
      <c r="AG346" s="70">
        <f t="shared" si="353"/>
        <v>58106.735999999997</v>
      </c>
      <c r="AH346" s="70">
        <f t="shared" si="354"/>
        <v>69538.039999999994</v>
      </c>
      <c r="AI346" s="70">
        <f t="shared" si="355"/>
        <v>77728.800000000003</v>
      </c>
      <c r="AJ346" s="70">
        <f t="shared" si="356"/>
        <v>84414.84</v>
      </c>
      <c r="AK346" s="70">
        <f t="shared" si="367"/>
        <v>94313.34</v>
      </c>
      <c r="AL346" s="70">
        <f t="shared" si="368"/>
        <v>98283.371999999988</v>
      </c>
      <c r="AN346" s="111" t="s">
        <v>130</v>
      </c>
      <c r="AO346" s="113">
        <f t="shared" ref="AO346:AW346" si="397">H346/H343</f>
        <v>0.1208598347745683</v>
      </c>
      <c r="AP346" s="113">
        <f t="shared" si="397"/>
        <v>0.13083113899780305</v>
      </c>
      <c r="AQ346" s="113">
        <f t="shared" si="397"/>
        <v>0.12179174492217464</v>
      </c>
      <c r="AR346" s="113">
        <f t="shared" si="397"/>
        <v>0.11070358624322367</v>
      </c>
      <c r="AS346" s="113">
        <f t="shared" si="397"/>
        <v>0.11932086674594801</v>
      </c>
      <c r="AT346" s="113">
        <f t="shared" si="397"/>
        <v>0.11310895883058461</v>
      </c>
      <c r="AU346" s="113">
        <f t="shared" si="397"/>
        <v>0.12043317848406362</v>
      </c>
      <c r="AV346" s="113">
        <f t="shared" si="397"/>
        <v>0.1208429501682976</v>
      </c>
      <c r="AW346" s="113">
        <f t="shared" si="397"/>
        <v>0.12232531306831386</v>
      </c>
      <c r="AY346" s="111" t="s">
        <v>130</v>
      </c>
      <c r="AZ346" s="179">
        <f t="shared" si="358"/>
        <v>5.3178327300810058E-3</v>
      </c>
      <c r="BA346" s="179">
        <f t="shared" si="359"/>
        <v>6.0182323938989405E-3</v>
      </c>
      <c r="BB346" s="179">
        <f t="shared" si="360"/>
        <v>5.6024202664200331E-3</v>
      </c>
      <c r="BC346" s="179">
        <f t="shared" si="361"/>
        <v>5.3137721396747358E-3</v>
      </c>
      <c r="BD346" s="179">
        <f t="shared" si="362"/>
        <v>6.204685070789296E-3</v>
      </c>
      <c r="BE346" s="179">
        <f t="shared" si="363"/>
        <v>6.7865375298350773E-3</v>
      </c>
      <c r="BF346" s="179">
        <f t="shared" si="364"/>
        <v>7.2259907090438166E-3</v>
      </c>
      <c r="BG346" s="179">
        <f t="shared" si="365"/>
        <v>7.9756347111076403E-3</v>
      </c>
      <c r="BH346" s="179">
        <f t="shared" si="366"/>
        <v>8.0734706625087138E-3</v>
      </c>
    </row>
    <row r="347" spans="2:68" s="108" customFormat="1" x14ac:dyDescent="0.25">
      <c r="B347" s="107"/>
      <c r="E347" s="109" t="s">
        <v>46</v>
      </c>
      <c r="F347" s="110" t="s">
        <v>64</v>
      </c>
      <c r="G347" s="111" t="s">
        <v>131</v>
      </c>
      <c r="H347" s="112">
        <v>3969282</v>
      </c>
      <c r="I347" s="112">
        <v>4167279</v>
      </c>
      <c r="J347" s="112">
        <v>4449089</v>
      </c>
      <c r="K347" s="112">
        <v>4883930</v>
      </c>
      <c r="L347" s="112">
        <v>5221092</v>
      </c>
      <c r="M347" s="112">
        <v>5302855</v>
      </c>
      <c r="N347" s="112">
        <v>5543608</v>
      </c>
      <c r="O347" s="112">
        <v>5835056</v>
      </c>
      <c r="P347" s="112">
        <v>6183714</v>
      </c>
      <c r="R347" s="111" t="s">
        <v>131</v>
      </c>
      <c r="S347" s="220">
        <v>1.1000000000000001</v>
      </c>
      <c r="T347" s="220">
        <v>0.9</v>
      </c>
      <c r="U347" s="220">
        <v>0.9</v>
      </c>
      <c r="V347" s="220">
        <v>1</v>
      </c>
      <c r="W347" s="220">
        <v>0.9</v>
      </c>
      <c r="X347" s="220">
        <v>0.7</v>
      </c>
      <c r="Y347" s="220">
        <v>0.9</v>
      </c>
      <c r="Z347" s="220">
        <v>1.2</v>
      </c>
      <c r="AA347" s="220">
        <v>1.2</v>
      </c>
      <c r="AC347" s="111" t="s">
        <v>131</v>
      </c>
      <c r="AD347" s="112">
        <f t="shared" si="370"/>
        <v>87324.203999999998</v>
      </c>
      <c r="AE347" s="112">
        <f t="shared" si="351"/>
        <v>75011.021999999997</v>
      </c>
      <c r="AF347" s="112">
        <f t="shared" si="352"/>
        <v>80083.601999999999</v>
      </c>
      <c r="AG347" s="112">
        <f t="shared" si="353"/>
        <v>97678.6</v>
      </c>
      <c r="AH347" s="112">
        <f t="shared" si="354"/>
        <v>93979.656000000003</v>
      </c>
      <c r="AI347" s="112">
        <f t="shared" si="355"/>
        <v>74239.969999999987</v>
      </c>
      <c r="AJ347" s="112">
        <f t="shared" si="356"/>
        <v>99784.944000000003</v>
      </c>
      <c r="AK347" s="112">
        <f t="shared" si="367"/>
        <v>140041.34400000001</v>
      </c>
      <c r="AL347" s="112">
        <f t="shared" si="368"/>
        <v>148409.136</v>
      </c>
      <c r="AN347" s="111" t="s">
        <v>131</v>
      </c>
      <c r="AO347" s="113">
        <f t="shared" ref="AO347:AW347" si="398">H347/H343</f>
        <v>0.40185929484930738</v>
      </c>
      <c r="AP347" s="113">
        <f t="shared" si="398"/>
        <v>0.40542710593460013</v>
      </c>
      <c r="AQ347" s="113">
        <f t="shared" si="398"/>
        <v>0.42091362446211361</v>
      </c>
      <c r="AR347" s="113">
        <f t="shared" si="398"/>
        <v>0.44662792909451382</v>
      </c>
      <c r="AS347" s="113">
        <f t="shared" si="398"/>
        <v>0.46586345524862982</v>
      </c>
      <c r="AT347" s="113">
        <f t="shared" si="398"/>
        <v>0.462994726186093</v>
      </c>
      <c r="AU347" s="113">
        <f t="shared" si="398"/>
        <v>0.47453812508062537</v>
      </c>
      <c r="AV347" s="113">
        <f t="shared" si="398"/>
        <v>0.49344318815192967</v>
      </c>
      <c r="AW347" s="113">
        <f t="shared" si="398"/>
        <v>0.50796012131476742</v>
      </c>
      <c r="AY347" s="111" t="s">
        <v>131</v>
      </c>
      <c r="AZ347" s="179">
        <f t="shared" si="358"/>
        <v>8.8409044866847638E-3</v>
      </c>
      <c r="BA347" s="179">
        <f t="shared" si="359"/>
        <v>7.2976879068228032E-3</v>
      </c>
      <c r="BB347" s="179">
        <f t="shared" si="360"/>
        <v>7.5764452403180452E-3</v>
      </c>
      <c r="BC347" s="179">
        <f t="shared" si="361"/>
        <v>8.9325585818902757E-3</v>
      </c>
      <c r="BD347" s="179">
        <f t="shared" si="362"/>
        <v>8.3855421944753379E-3</v>
      </c>
      <c r="BE347" s="179">
        <f t="shared" si="363"/>
        <v>6.4819261666053014E-3</v>
      </c>
      <c r="BF347" s="179">
        <f t="shared" si="364"/>
        <v>8.5416862514512571E-3</v>
      </c>
      <c r="BG347" s="179">
        <f t="shared" si="365"/>
        <v>1.1842636515646312E-2</v>
      </c>
      <c r="BH347" s="179">
        <f t="shared" si="366"/>
        <v>1.2191042911554418E-2</v>
      </c>
    </row>
    <row r="348" spans="2:68" s="87" customFormat="1" x14ac:dyDescent="0.25">
      <c r="B348" s="84"/>
      <c r="C348" s="85"/>
      <c r="D348" s="85"/>
      <c r="E348" s="109" t="s">
        <v>4</v>
      </c>
      <c r="F348" s="110" t="s">
        <v>64</v>
      </c>
      <c r="G348" s="195" t="s">
        <v>7</v>
      </c>
      <c r="H348" s="69">
        <v>4846436</v>
      </c>
      <c r="I348" s="69">
        <v>5047689</v>
      </c>
      <c r="J348" s="69">
        <v>5196174</v>
      </c>
      <c r="K348" s="69">
        <v>5368865</v>
      </c>
      <c r="L348" s="69">
        <v>5494081</v>
      </c>
      <c r="M348" s="69">
        <v>5611497</v>
      </c>
      <c r="N348" s="69">
        <v>5712762</v>
      </c>
      <c r="O348" s="69">
        <v>5770590</v>
      </c>
      <c r="P348" s="69">
        <v>5948435</v>
      </c>
      <c r="R348" s="195" t="s">
        <v>7</v>
      </c>
      <c r="S348" s="226">
        <v>0.9</v>
      </c>
      <c r="T348" s="226">
        <v>0.3</v>
      </c>
      <c r="U348" s="226">
        <v>0.3</v>
      </c>
      <c r="V348" s="226">
        <v>0.4</v>
      </c>
      <c r="W348" s="226">
        <v>0.4</v>
      </c>
      <c r="X348" s="226">
        <v>0.4</v>
      </c>
      <c r="Y348" s="226">
        <v>0.4</v>
      </c>
      <c r="Z348" s="226">
        <v>0.5</v>
      </c>
      <c r="AA348" s="226">
        <v>0.5</v>
      </c>
      <c r="AC348" s="195" t="s">
        <v>7</v>
      </c>
      <c r="AD348" s="69">
        <f t="shared" si="370"/>
        <v>87235.848000000013</v>
      </c>
      <c r="AE348" s="69">
        <f t="shared" si="351"/>
        <v>30286.133999999998</v>
      </c>
      <c r="AF348" s="69">
        <f t="shared" si="352"/>
        <v>31177.043999999998</v>
      </c>
      <c r="AG348" s="69">
        <f t="shared" si="353"/>
        <v>42950.92</v>
      </c>
      <c r="AH348" s="69">
        <f t="shared" si="354"/>
        <v>43952.648000000001</v>
      </c>
      <c r="AI348" s="69">
        <f t="shared" si="355"/>
        <v>44891.976000000002</v>
      </c>
      <c r="AJ348" s="69">
        <f t="shared" si="356"/>
        <v>45702.096000000005</v>
      </c>
      <c r="AK348" s="69">
        <f t="shared" si="367"/>
        <v>57705.9</v>
      </c>
      <c r="AL348" s="69">
        <f t="shared" si="368"/>
        <v>59484.35</v>
      </c>
      <c r="AN348" s="195" t="s">
        <v>7</v>
      </c>
      <c r="AO348" s="98">
        <f t="shared" ref="AO348:AW348" si="399">H348/H348</f>
        <v>1</v>
      </c>
      <c r="AP348" s="98">
        <f t="shared" si="399"/>
        <v>1</v>
      </c>
      <c r="AQ348" s="98">
        <f t="shared" si="399"/>
        <v>1</v>
      </c>
      <c r="AR348" s="98">
        <f t="shared" si="399"/>
        <v>1</v>
      </c>
      <c r="AS348" s="98">
        <f t="shared" si="399"/>
        <v>1</v>
      </c>
      <c r="AT348" s="98">
        <f t="shared" si="399"/>
        <v>1</v>
      </c>
      <c r="AU348" s="98">
        <f t="shared" si="399"/>
        <v>1</v>
      </c>
      <c r="AV348" s="98">
        <f t="shared" si="399"/>
        <v>1</v>
      </c>
      <c r="AW348" s="98">
        <f t="shared" si="399"/>
        <v>1</v>
      </c>
      <c r="AX348" s="191"/>
      <c r="AY348" s="195" t="s">
        <v>7</v>
      </c>
      <c r="AZ348" s="178">
        <f t="shared" si="358"/>
        <v>1.8000000000000002E-2</v>
      </c>
      <c r="BA348" s="178">
        <f t="shared" si="359"/>
        <v>6.0000000000000001E-3</v>
      </c>
      <c r="BB348" s="178">
        <f t="shared" si="360"/>
        <v>6.0000000000000001E-3</v>
      </c>
      <c r="BC348" s="178">
        <f t="shared" si="361"/>
        <v>8.0000000000000002E-3</v>
      </c>
      <c r="BD348" s="178">
        <f t="shared" si="362"/>
        <v>8.0000000000000002E-3</v>
      </c>
      <c r="BE348" s="178">
        <f t="shared" si="363"/>
        <v>8.0000000000000002E-3</v>
      </c>
      <c r="BF348" s="178">
        <f t="shared" si="364"/>
        <v>8.0000000000000002E-3</v>
      </c>
      <c r="BG348" s="178">
        <f t="shared" si="365"/>
        <v>0.01</v>
      </c>
      <c r="BH348" s="178">
        <f t="shared" si="366"/>
        <v>0.01</v>
      </c>
      <c r="BI348" s="191"/>
      <c r="BJ348" s="191"/>
      <c r="BK348" s="191"/>
      <c r="BL348" s="191"/>
      <c r="BM348" s="191"/>
      <c r="BN348" s="191"/>
      <c r="BO348" s="191"/>
      <c r="BP348" s="191"/>
    </row>
    <row r="349" spans="2:68" s="108" customFormat="1" x14ac:dyDescent="0.25">
      <c r="B349" s="107"/>
      <c r="E349" s="109" t="s">
        <v>4</v>
      </c>
      <c r="F349" s="110" t="s">
        <v>64</v>
      </c>
      <c r="G349" s="111" t="s">
        <v>54</v>
      </c>
      <c r="H349" s="112">
        <v>1323306</v>
      </c>
      <c r="I349" s="112">
        <v>1257057</v>
      </c>
      <c r="J349" s="112">
        <v>1211064</v>
      </c>
      <c r="K349" s="112">
        <v>1261241</v>
      </c>
      <c r="L349" s="112">
        <v>1227017</v>
      </c>
      <c r="M349" s="112">
        <v>1263808</v>
      </c>
      <c r="N349" s="112">
        <v>1212679</v>
      </c>
      <c r="O349" s="112">
        <v>1145267</v>
      </c>
      <c r="P349" s="112">
        <v>1108513</v>
      </c>
      <c r="R349" s="111" t="s">
        <v>54</v>
      </c>
      <c r="S349" s="220">
        <v>2.2000000000000002</v>
      </c>
      <c r="T349" s="220">
        <v>2.2000000000000002</v>
      </c>
      <c r="U349" s="220">
        <v>2.2999999999999998</v>
      </c>
      <c r="V349" s="220">
        <v>1.9</v>
      </c>
      <c r="W349" s="220">
        <v>2.5</v>
      </c>
      <c r="X349" s="220">
        <v>2</v>
      </c>
      <c r="Y349" s="220">
        <v>2</v>
      </c>
      <c r="Z349" s="220">
        <v>3.3</v>
      </c>
      <c r="AA349" s="220">
        <v>3.3</v>
      </c>
      <c r="AC349" s="111" t="s">
        <v>54</v>
      </c>
      <c r="AD349" s="112">
        <f t="shared" si="370"/>
        <v>58225.464000000007</v>
      </c>
      <c r="AE349" s="112">
        <f t="shared" si="351"/>
        <v>55310.508000000009</v>
      </c>
      <c r="AF349" s="112">
        <f t="shared" si="352"/>
        <v>55708.943999999996</v>
      </c>
      <c r="AG349" s="112">
        <f t="shared" si="353"/>
        <v>47927.157999999996</v>
      </c>
      <c r="AH349" s="112">
        <f t="shared" si="354"/>
        <v>61350.85</v>
      </c>
      <c r="AI349" s="112">
        <f t="shared" si="355"/>
        <v>50552.32</v>
      </c>
      <c r="AJ349" s="112">
        <f t="shared" si="356"/>
        <v>48507.16</v>
      </c>
      <c r="AK349" s="112">
        <f t="shared" si="367"/>
        <v>75587.621999999988</v>
      </c>
      <c r="AL349" s="112">
        <f t="shared" si="368"/>
        <v>73161.857999999993</v>
      </c>
      <c r="AN349" s="111" t="s">
        <v>54</v>
      </c>
      <c r="AO349" s="113">
        <f t="shared" ref="AO349:AW349" si="400">H349/H348</f>
        <v>0.27304724543974168</v>
      </c>
      <c r="AP349" s="113">
        <f t="shared" si="400"/>
        <v>0.24903614307458324</v>
      </c>
      <c r="AQ349" s="113">
        <f t="shared" si="400"/>
        <v>0.23306840763992892</v>
      </c>
      <c r="AR349" s="113">
        <f t="shared" si="400"/>
        <v>0.23491762225349305</v>
      </c>
      <c r="AS349" s="113">
        <f t="shared" si="400"/>
        <v>0.22333434836508598</v>
      </c>
      <c r="AT349" s="113">
        <f t="shared" si="400"/>
        <v>0.22521762018227934</v>
      </c>
      <c r="AU349" s="113">
        <f t="shared" si="400"/>
        <v>0.21227542824294099</v>
      </c>
      <c r="AV349" s="113">
        <f t="shared" si="400"/>
        <v>0.19846618803276614</v>
      </c>
      <c r="AW349" s="113">
        <f t="shared" si="400"/>
        <v>0.18635372160912914</v>
      </c>
      <c r="AY349" s="111" t="s">
        <v>54</v>
      </c>
      <c r="AZ349" s="179">
        <f t="shared" si="358"/>
        <v>1.2014078799348635E-2</v>
      </c>
      <c r="BA349" s="179">
        <f t="shared" si="359"/>
        <v>1.0957590295281663E-2</v>
      </c>
      <c r="BB349" s="179">
        <f t="shared" si="360"/>
        <v>1.072114675143673E-2</v>
      </c>
      <c r="BC349" s="179">
        <f t="shared" si="361"/>
        <v>8.9268696456327352E-3</v>
      </c>
      <c r="BD349" s="179">
        <f t="shared" si="362"/>
        <v>1.1166717418254299E-2</v>
      </c>
      <c r="BE349" s="179">
        <f t="shared" si="363"/>
        <v>9.0087048072911742E-3</v>
      </c>
      <c r="BF349" s="179">
        <f t="shared" si="364"/>
        <v>8.4910171297176394E-3</v>
      </c>
      <c r="BG349" s="179">
        <f t="shared" si="365"/>
        <v>1.3098768410162564E-2</v>
      </c>
      <c r="BH349" s="179">
        <f t="shared" si="366"/>
        <v>1.2299345626202522E-2</v>
      </c>
    </row>
    <row r="350" spans="2:68" s="108" customFormat="1" x14ac:dyDescent="0.25">
      <c r="B350" s="107"/>
      <c r="E350" s="109" t="s">
        <v>4</v>
      </c>
      <c r="F350" s="110" t="s">
        <v>64</v>
      </c>
      <c r="G350" s="111" t="s">
        <v>55</v>
      </c>
      <c r="H350" s="70">
        <v>1268441</v>
      </c>
      <c r="I350" s="70">
        <v>1362536</v>
      </c>
      <c r="J350" s="70">
        <v>1428811</v>
      </c>
      <c r="K350" s="70">
        <v>1453774</v>
      </c>
      <c r="L350" s="70">
        <v>1353347</v>
      </c>
      <c r="M350" s="70">
        <v>1411661</v>
      </c>
      <c r="N350" s="70">
        <v>1433694</v>
      </c>
      <c r="O350" s="112">
        <v>1428836</v>
      </c>
      <c r="P350" s="112">
        <v>1498342</v>
      </c>
      <c r="R350" s="111" t="s">
        <v>55</v>
      </c>
      <c r="S350" s="81">
        <v>2.2000000000000002</v>
      </c>
      <c r="T350" s="81">
        <v>2.2999999999999998</v>
      </c>
      <c r="U350" s="81">
        <v>2.2999999999999998</v>
      </c>
      <c r="V350" s="81">
        <v>2.4</v>
      </c>
      <c r="W350" s="81">
        <v>2.6</v>
      </c>
      <c r="X350" s="81">
        <v>3</v>
      </c>
      <c r="Y350" s="81">
        <v>2.2000000000000002</v>
      </c>
      <c r="Z350" s="81">
        <v>3.3</v>
      </c>
      <c r="AA350" s="81">
        <v>3.3</v>
      </c>
      <c r="AC350" s="111" t="s">
        <v>55</v>
      </c>
      <c r="AD350" s="70">
        <f t="shared" si="370"/>
        <v>55811.404000000002</v>
      </c>
      <c r="AE350" s="70">
        <f t="shared" si="351"/>
        <v>62676.655999999995</v>
      </c>
      <c r="AF350" s="70">
        <f t="shared" si="352"/>
        <v>65725.305999999997</v>
      </c>
      <c r="AG350" s="70">
        <f t="shared" si="353"/>
        <v>69781.152000000002</v>
      </c>
      <c r="AH350" s="70">
        <f t="shared" si="354"/>
        <v>70374.044000000009</v>
      </c>
      <c r="AI350" s="70">
        <f t="shared" si="355"/>
        <v>84699.66</v>
      </c>
      <c r="AJ350" s="70">
        <f t="shared" si="356"/>
        <v>63082.536000000007</v>
      </c>
      <c r="AK350" s="70">
        <f t="shared" si="367"/>
        <v>94303.175999999992</v>
      </c>
      <c r="AL350" s="70">
        <f t="shared" si="368"/>
        <v>98890.571999999986</v>
      </c>
      <c r="AN350" s="111" t="s">
        <v>55</v>
      </c>
      <c r="AO350" s="113">
        <f t="shared" ref="AO350:AW350" si="401">H350/H348</f>
        <v>0.26172655534912664</v>
      </c>
      <c r="AP350" s="113">
        <f t="shared" si="401"/>
        <v>0.26993263649959415</v>
      </c>
      <c r="AQ350" s="113">
        <f t="shared" si="401"/>
        <v>0.27497366331458495</v>
      </c>
      <c r="AR350" s="113">
        <f t="shared" si="401"/>
        <v>0.27077864688346603</v>
      </c>
      <c r="AS350" s="113">
        <f t="shared" si="401"/>
        <v>0.24632818482290306</v>
      </c>
      <c r="AT350" s="113">
        <f t="shared" si="401"/>
        <v>0.25156584775862839</v>
      </c>
      <c r="AU350" s="113">
        <f t="shared" si="401"/>
        <v>0.25096336938244584</v>
      </c>
      <c r="AV350" s="113">
        <f t="shared" si="401"/>
        <v>0.24760657055864305</v>
      </c>
      <c r="AW350" s="113">
        <f t="shared" si="401"/>
        <v>0.25188843788324156</v>
      </c>
      <c r="AY350" s="111" t="s">
        <v>55</v>
      </c>
      <c r="AZ350" s="179">
        <f t="shared" si="358"/>
        <v>1.1515968435361575E-2</v>
      </c>
      <c r="BA350" s="179">
        <f t="shared" si="359"/>
        <v>1.2416901278981329E-2</v>
      </c>
      <c r="BB350" s="179">
        <f t="shared" si="360"/>
        <v>1.2648788512470907E-2</v>
      </c>
      <c r="BC350" s="179">
        <f t="shared" si="361"/>
        <v>1.299737505040637E-2</v>
      </c>
      <c r="BD350" s="179">
        <f t="shared" si="362"/>
        <v>1.2809065610790959E-2</v>
      </c>
      <c r="BE350" s="179">
        <f t="shared" si="363"/>
        <v>1.5093950865517703E-2</v>
      </c>
      <c r="BF350" s="179">
        <f t="shared" si="364"/>
        <v>1.1042388252827617E-2</v>
      </c>
      <c r="BG350" s="179">
        <f t="shared" si="365"/>
        <v>1.6342033656870439E-2</v>
      </c>
      <c r="BH350" s="179">
        <f t="shared" si="366"/>
        <v>1.6624636900293942E-2</v>
      </c>
    </row>
    <row r="351" spans="2:68" s="108" customFormat="1" x14ac:dyDescent="0.25">
      <c r="B351" s="107"/>
      <c r="E351" s="109" t="s">
        <v>4</v>
      </c>
      <c r="F351" s="110" t="s">
        <v>64</v>
      </c>
      <c r="G351" s="111" t="s">
        <v>130</v>
      </c>
      <c r="H351" s="70">
        <v>582456</v>
      </c>
      <c r="I351" s="70">
        <v>668812</v>
      </c>
      <c r="J351" s="70">
        <v>665913</v>
      </c>
      <c r="K351" s="70">
        <v>649671</v>
      </c>
      <c r="L351" s="70">
        <v>698957</v>
      </c>
      <c r="M351" s="70">
        <v>673070</v>
      </c>
      <c r="N351" s="70">
        <v>725612</v>
      </c>
      <c r="O351" s="112">
        <v>743662</v>
      </c>
      <c r="P351" s="112">
        <v>803070</v>
      </c>
      <c r="R351" s="111" t="s">
        <v>130</v>
      </c>
      <c r="S351" s="220">
        <v>3.2</v>
      </c>
      <c r="T351" s="220">
        <v>3.3</v>
      </c>
      <c r="U351" s="220">
        <v>3.4</v>
      </c>
      <c r="V351" s="220">
        <v>3.6</v>
      </c>
      <c r="W351" s="220">
        <v>3.8</v>
      </c>
      <c r="X351" s="220">
        <v>4.3</v>
      </c>
      <c r="Y351" s="220">
        <v>3.3</v>
      </c>
      <c r="Z351" s="220">
        <v>4.7</v>
      </c>
      <c r="AA351" s="220">
        <v>3.8</v>
      </c>
      <c r="AC351" s="111" t="s">
        <v>130</v>
      </c>
      <c r="AD351" s="70">
        <f t="shared" si="370"/>
        <v>37277.184000000001</v>
      </c>
      <c r="AE351" s="70">
        <f t="shared" si="351"/>
        <v>44141.592000000004</v>
      </c>
      <c r="AF351" s="70">
        <f t="shared" si="352"/>
        <v>45282.083999999995</v>
      </c>
      <c r="AG351" s="70">
        <f t="shared" si="353"/>
        <v>46776.312000000005</v>
      </c>
      <c r="AH351" s="70">
        <f t="shared" si="354"/>
        <v>53120.732000000004</v>
      </c>
      <c r="AI351" s="70">
        <f t="shared" si="355"/>
        <v>57884.02</v>
      </c>
      <c r="AJ351" s="70">
        <f t="shared" si="356"/>
        <v>47890.392</v>
      </c>
      <c r="AK351" s="70">
        <f t="shared" si="367"/>
        <v>69904.228000000003</v>
      </c>
      <c r="AL351" s="70">
        <f t="shared" si="368"/>
        <v>61033.32</v>
      </c>
      <c r="AN351" s="111" t="s">
        <v>130</v>
      </c>
      <c r="AO351" s="113">
        <f t="shared" ref="AO351:AW351" si="402">H351/H348</f>
        <v>0.1201823360506566</v>
      </c>
      <c r="AP351" s="113">
        <f t="shared" si="402"/>
        <v>0.13249865433468663</v>
      </c>
      <c r="AQ351" s="113">
        <f t="shared" si="402"/>
        <v>0.12815448443412403</v>
      </c>
      <c r="AR351" s="113">
        <f t="shared" si="402"/>
        <v>0.12100714024286326</v>
      </c>
      <c r="AS351" s="113">
        <f t="shared" si="402"/>
        <v>0.12722000276297346</v>
      </c>
      <c r="AT351" s="113">
        <f t="shared" si="402"/>
        <v>0.11994482042848816</v>
      </c>
      <c r="AU351" s="113">
        <f t="shared" si="402"/>
        <v>0.12701596880808266</v>
      </c>
      <c r="AV351" s="113">
        <f t="shared" si="402"/>
        <v>0.12887105131364385</v>
      </c>
      <c r="AW351" s="113">
        <f t="shared" si="402"/>
        <v>0.13500525768542482</v>
      </c>
      <c r="AY351" s="111" t="s">
        <v>130</v>
      </c>
      <c r="AZ351" s="179">
        <f t="shared" si="358"/>
        <v>7.6916695072420226E-3</v>
      </c>
      <c r="BA351" s="179">
        <f t="shared" si="359"/>
        <v>8.7449111860893169E-3</v>
      </c>
      <c r="BB351" s="179">
        <f t="shared" si="360"/>
        <v>8.7145049415204342E-3</v>
      </c>
      <c r="BC351" s="179">
        <f t="shared" si="361"/>
        <v>8.7125140974861556E-3</v>
      </c>
      <c r="BD351" s="179">
        <f t="shared" si="362"/>
        <v>9.6687202099859822E-3</v>
      </c>
      <c r="BE351" s="179">
        <f t="shared" si="363"/>
        <v>1.031525455684998E-2</v>
      </c>
      <c r="BF351" s="179">
        <f t="shared" si="364"/>
        <v>8.3830539413334553E-3</v>
      </c>
      <c r="BG351" s="179">
        <f t="shared" si="365"/>
        <v>1.2113878823482522E-2</v>
      </c>
      <c r="BH351" s="179">
        <f t="shared" si="366"/>
        <v>1.0260399584092285E-2</v>
      </c>
    </row>
    <row r="352" spans="2:68" s="108" customFormat="1" x14ac:dyDescent="0.25">
      <c r="B352" s="107"/>
      <c r="E352" s="109" t="s">
        <v>4</v>
      </c>
      <c r="F352" s="110" t="s">
        <v>64</v>
      </c>
      <c r="G352" s="111" t="s">
        <v>131</v>
      </c>
      <c r="H352" s="112">
        <v>1657146</v>
      </c>
      <c r="I352" s="112">
        <v>1726610</v>
      </c>
      <c r="J352" s="112">
        <v>1839831</v>
      </c>
      <c r="K352" s="112">
        <v>1970100</v>
      </c>
      <c r="L352" s="112">
        <v>2177112</v>
      </c>
      <c r="M352" s="112">
        <v>2203313</v>
      </c>
      <c r="N352" s="112">
        <v>2290396</v>
      </c>
      <c r="O352" s="112">
        <v>2452825</v>
      </c>
      <c r="P352" s="112">
        <v>2538510</v>
      </c>
      <c r="R352" s="111" t="s">
        <v>131</v>
      </c>
      <c r="S352" s="220">
        <v>1.8</v>
      </c>
      <c r="T352" s="220">
        <v>1.4</v>
      </c>
      <c r="U352" s="220">
        <v>1.7</v>
      </c>
      <c r="V352" s="220">
        <v>1.7</v>
      </c>
      <c r="W352" s="220">
        <v>1.2</v>
      </c>
      <c r="X352" s="220">
        <v>1.3</v>
      </c>
      <c r="Y352" s="220">
        <v>1.2</v>
      </c>
      <c r="Z352" s="220">
        <v>2.2000000000000002</v>
      </c>
      <c r="AA352" s="220">
        <v>2.2000000000000002</v>
      </c>
      <c r="AC352" s="111" t="s">
        <v>131</v>
      </c>
      <c r="AD352" s="112">
        <f t="shared" si="370"/>
        <v>59657.256000000008</v>
      </c>
      <c r="AE352" s="112">
        <f t="shared" si="351"/>
        <v>48345.08</v>
      </c>
      <c r="AF352" s="112">
        <f t="shared" si="352"/>
        <v>62554.253999999994</v>
      </c>
      <c r="AG352" s="112">
        <f t="shared" si="353"/>
        <v>66983.399999999994</v>
      </c>
      <c r="AH352" s="112">
        <f t="shared" si="354"/>
        <v>52250.687999999995</v>
      </c>
      <c r="AI352" s="112">
        <f t="shared" si="355"/>
        <v>57286.137999999999</v>
      </c>
      <c r="AJ352" s="112">
        <f t="shared" si="356"/>
        <v>54969.503999999994</v>
      </c>
      <c r="AK352" s="112">
        <f t="shared" si="367"/>
        <v>107924.3</v>
      </c>
      <c r="AL352" s="112">
        <f t="shared" si="368"/>
        <v>111694.44</v>
      </c>
      <c r="AN352" s="111" t="s">
        <v>131</v>
      </c>
      <c r="AO352" s="113">
        <f t="shared" ref="AO352:AW352" si="403">H352/H348</f>
        <v>0.34193085393059974</v>
      </c>
      <c r="AP352" s="113">
        <f t="shared" si="403"/>
        <v>0.3420595048545978</v>
      </c>
      <c r="AQ352" s="113">
        <f t="shared" si="403"/>
        <v>0.35407417072638447</v>
      </c>
      <c r="AR352" s="113">
        <f t="shared" si="403"/>
        <v>0.36694906651592096</v>
      </c>
      <c r="AS352" s="113">
        <f t="shared" si="403"/>
        <v>0.39626499864126502</v>
      </c>
      <c r="AT352" s="113">
        <f t="shared" si="403"/>
        <v>0.39264264063582321</v>
      </c>
      <c r="AU352" s="113">
        <f t="shared" si="403"/>
        <v>0.40092620697308939</v>
      </c>
      <c r="AV352" s="113">
        <f t="shared" si="403"/>
        <v>0.42505619009494694</v>
      </c>
      <c r="AW352" s="113">
        <f t="shared" si="403"/>
        <v>0.42675258282220452</v>
      </c>
      <c r="AY352" s="111" t="s">
        <v>131</v>
      </c>
      <c r="AZ352" s="179">
        <f t="shared" si="358"/>
        <v>1.230951074150159E-2</v>
      </c>
      <c r="BA352" s="179">
        <f t="shared" si="359"/>
        <v>9.5776661359287373E-3</v>
      </c>
      <c r="BB352" s="179">
        <f t="shared" si="360"/>
        <v>1.2038521804697071E-2</v>
      </c>
      <c r="BC352" s="179">
        <f t="shared" si="361"/>
        <v>1.2476268261541312E-2</v>
      </c>
      <c r="BD352" s="179">
        <f t="shared" si="362"/>
        <v>9.51035996739036E-3</v>
      </c>
      <c r="BE352" s="179">
        <f t="shared" si="363"/>
        <v>1.0208708656531404E-2</v>
      </c>
      <c r="BF352" s="179">
        <f t="shared" si="364"/>
        <v>9.6222289673541447E-3</v>
      </c>
      <c r="BG352" s="179">
        <f t="shared" si="365"/>
        <v>1.8702472364177668E-2</v>
      </c>
      <c r="BH352" s="179">
        <f t="shared" si="366"/>
        <v>1.8777113644176998E-2</v>
      </c>
    </row>
    <row r="353" spans="2:68" s="87" customFormat="1" x14ac:dyDescent="0.25">
      <c r="B353" s="84"/>
      <c r="C353" s="85"/>
      <c r="D353" s="85"/>
      <c r="E353" s="109" t="s">
        <v>5</v>
      </c>
      <c r="F353" s="110" t="s">
        <v>64</v>
      </c>
      <c r="G353" s="195" t="s">
        <v>7</v>
      </c>
      <c r="H353" s="69">
        <v>5030857</v>
      </c>
      <c r="I353" s="69">
        <v>5231049</v>
      </c>
      <c r="J353" s="69">
        <v>5373902</v>
      </c>
      <c r="K353" s="69">
        <v>5566255</v>
      </c>
      <c r="L353" s="69">
        <v>5713263</v>
      </c>
      <c r="M353" s="69">
        <v>5841884</v>
      </c>
      <c r="N353" s="69">
        <v>5969351</v>
      </c>
      <c r="O353" s="69">
        <v>6054593</v>
      </c>
      <c r="P353" s="69">
        <v>6225186</v>
      </c>
      <c r="R353" s="195" t="s">
        <v>7</v>
      </c>
      <c r="S353" s="226">
        <v>0.6</v>
      </c>
      <c r="T353" s="226">
        <v>0.3</v>
      </c>
      <c r="U353" s="226">
        <v>0.3</v>
      </c>
      <c r="V353" s="226">
        <v>0.4</v>
      </c>
      <c r="W353" s="226">
        <v>0.4</v>
      </c>
      <c r="X353" s="226">
        <v>0.4</v>
      </c>
      <c r="Y353" s="226">
        <v>0.4</v>
      </c>
      <c r="Z353" s="226">
        <v>0.4</v>
      </c>
      <c r="AA353" s="226">
        <v>0.4</v>
      </c>
      <c r="AC353" s="195" t="s">
        <v>7</v>
      </c>
      <c r="AD353" s="69">
        <f t="shared" si="370"/>
        <v>60370.283999999992</v>
      </c>
      <c r="AE353" s="69">
        <f t="shared" si="351"/>
        <v>31386.293999999998</v>
      </c>
      <c r="AF353" s="69">
        <f t="shared" si="352"/>
        <v>32243.411999999997</v>
      </c>
      <c r="AG353" s="69">
        <f t="shared" si="353"/>
        <v>44530.04</v>
      </c>
      <c r="AH353" s="69">
        <f t="shared" si="354"/>
        <v>45706.104000000007</v>
      </c>
      <c r="AI353" s="69">
        <f t="shared" si="355"/>
        <v>46735.072</v>
      </c>
      <c r="AJ353" s="69">
        <f t="shared" si="356"/>
        <v>47754.807999999997</v>
      </c>
      <c r="AK353" s="69">
        <f t="shared" si="367"/>
        <v>48436.744000000006</v>
      </c>
      <c r="AL353" s="69">
        <f t="shared" si="368"/>
        <v>49801.487999999998</v>
      </c>
      <c r="AN353" s="195" t="s">
        <v>7</v>
      </c>
      <c r="AO353" s="98">
        <f t="shared" ref="AO353:AW353" si="404">H353/H353</f>
        <v>1</v>
      </c>
      <c r="AP353" s="98">
        <f t="shared" si="404"/>
        <v>1</v>
      </c>
      <c r="AQ353" s="98">
        <f t="shared" si="404"/>
        <v>1</v>
      </c>
      <c r="AR353" s="98">
        <f t="shared" si="404"/>
        <v>1</v>
      </c>
      <c r="AS353" s="98">
        <f t="shared" si="404"/>
        <v>1</v>
      </c>
      <c r="AT353" s="98">
        <f t="shared" si="404"/>
        <v>1</v>
      </c>
      <c r="AU353" s="98">
        <f t="shared" si="404"/>
        <v>1</v>
      </c>
      <c r="AV353" s="98">
        <f t="shared" si="404"/>
        <v>1</v>
      </c>
      <c r="AW353" s="98">
        <f t="shared" si="404"/>
        <v>1</v>
      </c>
      <c r="AX353" s="191"/>
      <c r="AY353" s="195" t="s">
        <v>7</v>
      </c>
      <c r="AZ353" s="178">
        <f t="shared" si="358"/>
        <v>1.2E-2</v>
      </c>
      <c r="BA353" s="178">
        <f t="shared" si="359"/>
        <v>6.0000000000000001E-3</v>
      </c>
      <c r="BB353" s="178">
        <f t="shared" si="360"/>
        <v>6.0000000000000001E-3</v>
      </c>
      <c r="BC353" s="178">
        <f t="shared" si="361"/>
        <v>8.0000000000000002E-3</v>
      </c>
      <c r="BD353" s="178">
        <f t="shared" si="362"/>
        <v>8.0000000000000002E-3</v>
      </c>
      <c r="BE353" s="178">
        <f t="shared" si="363"/>
        <v>8.0000000000000002E-3</v>
      </c>
      <c r="BF353" s="178">
        <f t="shared" si="364"/>
        <v>8.0000000000000002E-3</v>
      </c>
      <c r="BG353" s="178">
        <f t="shared" si="365"/>
        <v>8.0000000000000002E-3</v>
      </c>
      <c r="BH353" s="178">
        <f t="shared" si="366"/>
        <v>8.0000000000000002E-3</v>
      </c>
      <c r="BI353" s="191"/>
      <c r="BJ353" s="191"/>
      <c r="BK353" s="191"/>
      <c r="BL353" s="191"/>
      <c r="BM353" s="191"/>
      <c r="BN353" s="191"/>
      <c r="BO353" s="191"/>
      <c r="BP353" s="191"/>
    </row>
    <row r="354" spans="2:68" s="108" customFormat="1" x14ac:dyDescent="0.25">
      <c r="B354" s="107"/>
      <c r="E354" s="109" t="s">
        <v>5</v>
      </c>
      <c r="F354" s="110" t="s">
        <v>64</v>
      </c>
      <c r="G354" s="111" t="s">
        <v>54</v>
      </c>
      <c r="H354" s="112">
        <v>1095334</v>
      </c>
      <c r="I354" s="112">
        <v>1015728</v>
      </c>
      <c r="J354" s="112">
        <v>976151</v>
      </c>
      <c r="K354" s="112">
        <v>947781</v>
      </c>
      <c r="L354" s="112">
        <v>881506</v>
      </c>
      <c r="M354" s="112">
        <v>910350</v>
      </c>
      <c r="N354" s="112">
        <v>835371</v>
      </c>
      <c r="O354" s="112">
        <v>834408</v>
      </c>
      <c r="P354" s="112">
        <v>753394</v>
      </c>
      <c r="R354" s="111" t="s">
        <v>54</v>
      </c>
      <c r="S354" s="220">
        <v>2.2000000000000002</v>
      </c>
      <c r="T354" s="220">
        <v>2.2000000000000002</v>
      </c>
      <c r="U354" s="220">
        <v>2.7</v>
      </c>
      <c r="V354" s="220">
        <v>2.4</v>
      </c>
      <c r="W354" s="220">
        <v>3.1</v>
      </c>
      <c r="X354" s="220">
        <v>2</v>
      </c>
      <c r="Y354" s="220">
        <v>2.9</v>
      </c>
      <c r="Z354" s="220">
        <v>3.8</v>
      </c>
      <c r="AA354" s="220">
        <v>3.8</v>
      </c>
      <c r="AC354" s="111" t="s">
        <v>54</v>
      </c>
      <c r="AD354" s="112">
        <f t="shared" si="370"/>
        <v>48194.696000000004</v>
      </c>
      <c r="AE354" s="112">
        <f t="shared" si="351"/>
        <v>44692.031999999999</v>
      </c>
      <c r="AF354" s="112">
        <f t="shared" si="352"/>
        <v>52712.154000000002</v>
      </c>
      <c r="AG354" s="112">
        <f t="shared" si="353"/>
        <v>45493.487999999998</v>
      </c>
      <c r="AH354" s="112">
        <f t="shared" si="354"/>
        <v>54653.372000000003</v>
      </c>
      <c r="AI354" s="112">
        <f t="shared" si="355"/>
        <v>36414</v>
      </c>
      <c r="AJ354" s="112">
        <f t="shared" si="356"/>
        <v>48451.517999999996</v>
      </c>
      <c r="AK354" s="112">
        <f t="shared" si="367"/>
        <v>63415.008000000002</v>
      </c>
      <c r="AL354" s="112">
        <f t="shared" si="368"/>
        <v>57257.943999999996</v>
      </c>
      <c r="AN354" s="111" t="s">
        <v>54</v>
      </c>
      <c r="AO354" s="113">
        <f t="shared" ref="AO354:AW354" si="405">H354/H353</f>
        <v>0.21772314339286528</v>
      </c>
      <c r="AP354" s="113">
        <f t="shared" si="405"/>
        <v>0.19417290872251436</v>
      </c>
      <c r="AQ354" s="113">
        <f t="shared" si="405"/>
        <v>0.18164659496953983</v>
      </c>
      <c r="AR354" s="113">
        <f t="shared" si="405"/>
        <v>0.17027265189970636</v>
      </c>
      <c r="AS354" s="113">
        <f t="shared" si="405"/>
        <v>0.15429116426112363</v>
      </c>
      <c r="AT354" s="113">
        <f t="shared" si="405"/>
        <v>0.15583157762119207</v>
      </c>
      <c r="AU354" s="113">
        <f t="shared" si="405"/>
        <v>0.13994335397600174</v>
      </c>
      <c r="AV354" s="113">
        <f t="shared" si="405"/>
        <v>0.13781405290165663</v>
      </c>
      <c r="AW354" s="113">
        <f t="shared" si="405"/>
        <v>0.12102353246955191</v>
      </c>
      <c r="AY354" s="111" t="s">
        <v>54</v>
      </c>
      <c r="AZ354" s="179">
        <f t="shared" si="358"/>
        <v>9.5798183092860728E-3</v>
      </c>
      <c r="BA354" s="179">
        <f t="shared" si="359"/>
        <v>8.5436079837906322E-3</v>
      </c>
      <c r="BB354" s="179">
        <f t="shared" si="360"/>
        <v>9.808916128355152E-3</v>
      </c>
      <c r="BC354" s="179">
        <f t="shared" si="361"/>
        <v>8.173087291185906E-3</v>
      </c>
      <c r="BD354" s="179">
        <f t="shared" si="362"/>
        <v>9.5660521841896655E-3</v>
      </c>
      <c r="BE354" s="179">
        <f t="shared" si="363"/>
        <v>6.2332631048476828E-3</v>
      </c>
      <c r="BF354" s="179">
        <f t="shared" si="364"/>
        <v>8.1167145306081014E-3</v>
      </c>
      <c r="BG354" s="179">
        <f t="shared" si="365"/>
        <v>1.0473868020525903E-2</v>
      </c>
      <c r="BH354" s="179">
        <f t="shared" si="366"/>
        <v>9.1977884676859457E-3</v>
      </c>
    </row>
    <row r="355" spans="2:68" s="108" customFormat="1" x14ac:dyDescent="0.25">
      <c r="B355" s="107"/>
      <c r="E355" s="109" t="s">
        <v>5</v>
      </c>
      <c r="F355" s="110" t="s">
        <v>64</v>
      </c>
      <c r="G355" s="111" t="s">
        <v>55</v>
      </c>
      <c r="H355" s="70">
        <v>1004171</v>
      </c>
      <c r="I355" s="70">
        <v>1059497</v>
      </c>
      <c r="J355" s="70">
        <v>1105704</v>
      </c>
      <c r="K355" s="70">
        <v>1109829</v>
      </c>
      <c r="L355" s="70">
        <v>1110039</v>
      </c>
      <c r="M355" s="70">
        <v>1144558</v>
      </c>
      <c r="N355" s="70">
        <v>1127544</v>
      </c>
      <c r="O355" s="112">
        <v>1152626</v>
      </c>
      <c r="P355" s="112">
        <v>1140516</v>
      </c>
      <c r="R355" s="111" t="s">
        <v>55</v>
      </c>
      <c r="S355" s="81">
        <v>2.2000000000000002</v>
      </c>
      <c r="T355" s="81">
        <v>2.2999999999999998</v>
      </c>
      <c r="U355" s="81">
        <v>2.2999999999999998</v>
      </c>
      <c r="V355" s="81">
        <v>2.4</v>
      </c>
      <c r="W355" s="81">
        <v>2.6</v>
      </c>
      <c r="X355" s="81">
        <v>3</v>
      </c>
      <c r="Y355" s="81">
        <v>2</v>
      </c>
      <c r="Z355" s="81">
        <v>3.3</v>
      </c>
      <c r="AA355" s="81">
        <v>3.3</v>
      </c>
      <c r="AC355" s="111" t="s">
        <v>55</v>
      </c>
      <c r="AD355" s="70">
        <f t="shared" si="370"/>
        <v>44183.524000000005</v>
      </c>
      <c r="AE355" s="70">
        <f t="shared" si="351"/>
        <v>48736.861999999994</v>
      </c>
      <c r="AF355" s="70">
        <f t="shared" si="352"/>
        <v>50862.383999999991</v>
      </c>
      <c r="AG355" s="70">
        <f t="shared" si="353"/>
        <v>53271.792000000001</v>
      </c>
      <c r="AH355" s="70">
        <f t="shared" si="354"/>
        <v>57722.027999999998</v>
      </c>
      <c r="AI355" s="70">
        <f t="shared" si="355"/>
        <v>68673.48</v>
      </c>
      <c r="AJ355" s="70">
        <f t="shared" si="356"/>
        <v>45101.760000000002</v>
      </c>
      <c r="AK355" s="70">
        <f t="shared" si="367"/>
        <v>76073.315999999992</v>
      </c>
      <c r="AL355" s="70">
        <f t="shared" si="368"/>
        <v>75274.055999999997</v>
      </c>
      <c r="AN355" s="111" t="s">
        <v>55</v>
      </c>
      <c r="AO355" s="113">
        <f t="shared" ref="AO355:AW355" si="406">H355/H353</f>
        <v>0.19960237390965396</v>
      </c>
      <c r="AP355" s="113">
        <f t="shared" si="406"/>
        <v>0.20254006414392217</v>
      </c>
      <c r="AQ355" s="113">
        <f t="shared" si="406"/>
        <v>0.20575440341115264</v>
      </c>
      <c r="AR355" s="113">
        <f t="shared" si="406"/>
        <v>0.19938522399710398</v>
      </c>
      <c r="AS355" s="113">
        <f t="shared" si="406"/>
        <v>0.19429159833881268</v>
      </c>
      <c r="AT355" s="113">
        <f t="shared" si="406"/>
        <v>0.19592275368699549</v>
      </c>
      <c r="AU355" s="113">
        <f t="shared" si="406"/>
        <v>0.18888887585936898</v>
      </c>
      <c r="AV355" s="113">
        <f t="shared" si="406"/>
        <v>0.19037216869903559</v>
      </c>
      <c r="AW355" s="113">
        <f t="shared" si="406"/>
        <v>0.18320994746181077</v>
      </c>
      <c r="AY355" s="111" t="s">
        <v>55</v>
      </c>
      <c r="AZ355" s="179">
        <f t="shared" si="358"/>
        <v>8.7825044520247753E-3</v>
      </c>
      <c r="BA355" s="179">
        <f t="shared" si="359"/>
        <v>9.316842950620418E-3</v>
      </c>
      <c r="BB355" s="179">
        <f t="shared" si="360"/>
        <v>9.4647025569130211E-3</v>
      </c>
      <c r="BC355" s="179">
        <f t="shared" si="361"/>
        <v>9.5704907518609911E-3</v>
      </c>
      <c r="BD355" s="179">
        <f t="shared" si="362"/>
        <v>1.0103163113618261E-2</v>
      </c>
      <c r="BE355" s="179">
        <f t="shared" si="363"/>
        <v>1.1755365221219729E-2</v>
      </c>
      <c r="BF355" s="179">
        <f t="shared" si="364"/>
        <v>7.5555550343747594E-3</v>
      </c>
      <c r="BG355" s="179">
        <f t="shared" si="365"/>
        <v>1.2564563134136349E-2</v>
      </c>
      <c r="BH355" s="179">
        <f t="shared" si="366"/>
        <v>1.209185653247951E-2</v>
      </c>
    </row>
    <row r="356" spans="2:68" s="108" customFormat="1" x14ac:dyDescent="0.25">
      <c r="B356" s="107"/>
      <c r="E356" s="109" t="s">
        <v>5</v>
      </c>
      <c r="F356" s="110" t="s">
        <v>64</v>
      </c>
      <c r="G356" s="111" t="s">
        <v>130</v>
      </c>
      <c r="H356" s="70">
        <v>611312</v>
      </c>
      <c r="I356" s="70">
        <v>675967</v>
      </c>
      <c r="J356" s="70">
        <v>621435</v>
      </c>
      <c r="K356" s="70">
        <v>560886</v>
      </c>
      <c r="L356" s="70">
        <v>638313</v>
      </c>
      <c r="M356" s="70">
        <v>622410</v>
      </c>
      <c r="N356" s="70">
        <v>681302</v>
      </c>
      <c r="O356" s="112">
        <v>685328</v>
      </c>
      <c r="P356" s="112">
        <v>686072</v>
      </c>
      <c r="R356" s="111" t="s">
        <v>130</v>
      </c>
      <c r="S356" s="220">
        <v>3.2</v>
      </c>
      <c r="T356" s="220">
        <v>3.3</v>
      </c>
      <c r="U356" s="220">
        <v>3.4</v>
      </c>
      <c r="V356" s="220">
        <v>3.6</v>
      </c>
      <c r="W356" s="220">
        <v>3.8</v>
      </c>
      <c r="X356" s="220">
        <v>4.3</v>
      </c>
      <c r="Y356" s="220">
        <v>2.8</v>
      </c>
      <c r="Z356" s="220">
        <v>4.7</v>
      </c>
      <c r="AA356" s="220">
        <v>4.8</v>
      </c>
      <c r="AC356" s="111" t="s">
        <v>130</v>
      </c>
      <c r="AD356" s="70">
        <f t="shared" si="370"/>
        <v>39123.968000000001</v>
      </c>
      <c r="AE356" s="70">
        <f t="shared" si="351"/>
        <v>44613.822</v>
      </c>
      <c r="AF356" s="70">
        <f t="shared" si="352"/>
        <v>42257.58</v>
      </c>
      <c r="AG356" s="70">
        <f t="shared" si="353"/>
        <v>40383.792000000001</v>
      </c>
      <c r="AH356" s="70">
        <f t="shared" si="354"/>
        <v>48511.788</v>
      </c>
      <c r="AI356" s="70">
        <f t="shared" si="355"/>
        <v>53527.26</v>
      </c>
      <c r="AJ356" s="70">
        <f t="shared" si="356"/>
        <v>38152.911999999997</v>
      </c>
      <c r="AK356" s="70">
        <f t="shared" si="367"/>
        <v>64420.832000000002</v>
      </c>
      <c r="AL356" s="70">
        <f t="shared" si="368"/>
        <v>65862.911999999997</v>
      </c>
      <c r="AN356" s="111" t="s">
        <v>130</v>
      </c>
      <c r="AO356" s="113">
        <f t="shared" ref="AO356:AW356" si="407">H356/H353</f>
        <v>0.12151249777125447</v>
      </c>
      <c r="AP356" s="113">
        <f t="shared" si="407"/>
        <v>0.12922207381349324</v>
      </c>
      <c r="AQ356" s="113">
        <f t="shared" si="407"/>
        <v>0.11563943667003976</v>
      </c>
      <c r="AR356" s="113">
        <f t="shared" si="407"/>
        <v>0.10076541588554602</v>
      </c>
      <c r="AS356" s="113">
        <f t="shared" si="407"/>
        <v>0.11172477094087914</v>
      </c>
      <c r="AT356" s="113">
        <f t="shared" si="407"/>
        <v>0.10654268383281831</v>
      </c>
      <c r="AU356" s="113">
        <f t="shared" si="407"/>
        <v>0.11413334548429134</v>
      </c>
      <c r="AV356" s="113">
        <f t="shared" si="407"/>
        <v>0.11319142343671985</v>
      </c>
      <c r="AW356" s="113">
        <f t="shared" si="407"/>
        <v>0.11020907648381911</v>
      </c>
      <c r="AY356" s="111" t="s">
        <v>130</v>
      </c>
      <c r="AZ356" s="179">
        <f t="shared" si="358"/>
        <v>7.776799857360287E-3</v>
      </c>
      <c r="BA356" s="179">
        <f t="shared" si="359"/>
        <v>8.5286568716905539E-3</v>
      </c>
      <c r="BB356" s="179">
        <f t="shared" si="360"/>
        <v>7.8634816935627041E-3</v>
      </c>
      <c r="BC356" s="179">
        <f t="shared" si="361"/>
        <v>7.2551099437593138E-3</v>
      </c>
      <c r="BD356" s="179">
        <f t="shared" si="362"/>
        <v>8.4910825915068145E-3</v>
      </c>
      <c r="BE356" s="179">
        <f t="shared" si="363"/>
        <v>9.1626708096223738E-3</v>
      </c>
      <c r="BF356" s="179">
        <f t="shared" si="364"/>
        <v>6.3914673471203139E-3</v>
      </c>
      <c r="BG356" s="179">
        <f t="shared" si="365"/>
        <v>1.0639993803051665E-2</v>
      </c>
      <c r="BH356" s="179">
        <f t="shared" si="366"/>
        <v>1.0580071342446635E-2</v>
      </c>
    </row>
    <row r="357" spans="2:68" s="108" customFormat="1" x14ac:dyDescent="0.25">
      <c r="B357" s="107"/>
      <c r="E357" s="109" t="s">
        <v>5</v>
      </c>
      <c r="F357" s="110" t="s">
        <v>64</v>
      </c>
      <c r="G357" s="111" t="s">
        <v>131</v>
      </c>
      <c r="H357" s="112">
        <v>2312136</v>
      </c>
      <c r="I357" s="112">
        <v>2440669</v>
      </c>
      <c r="J357" s="112">
        <v>2609258</v>
      </c>
      <c r="K357" s="112">
        <v>2913830</v>
      </c>
      <c r="L357" s="112">
        <v>3043980</v>
      </c>
      <c r="M357" s="112">
        <v>3099542</v>
      </c>
      <c r="N357" s="112">
        <v>3253212</v>
      </c>
      <c r="O357" s="112">
        <v>3382231</v>
      </c>
      <c r="P357" s="112">
        <v>3645204</v>
      </c>
      <c r="R357" s="111" t="s">
        <v>131</v>
      </c>
      <c r="S357" s="220">
        <v>1.5</v>
      </c>
      <c r="T357" s="220">
        <v>1.2</v>
      </c>
      <c r="U357" s="220">
        <v>1.2</v>
      </c>
      <c r="V357" s="220">
        <v>1.2</v>
      </c>
      <c r="W357" s="220">
        <v>1</v>
      </c>
      <c r="X357" s="220">
        <v>1.3</v>
      </c>
      <c r="Y357" s="220">
        <v>1.1000000000000001</v>
      </c>
      <c r="Z357" s="220">
        <v>1.7</v>
      </c>
      <c r="AA357" s="220">
        <v>1.8</v>
      </c>
      <c r="AC357" s="111" t="s">
        <v>131</v>
      </c>
      <c r="AD357" s="112">
        <f t="shared" si="370"/>
        <v>69364.08</v>
      </c>
      <c r="AE357" s="112">
        <f t="shared" si="351"/>
        <v>58576.055999999997</v>
      </c>
      <c r="AF357" s="112">
        <f t="shared" si="352"/>
        <v>62622.192000000003</v>
      </c>
      <c r="AG357" s="112">
        <f t="shared" si="353"/>
        <v>69931.92</v>
      </c>
      <c r="AH357" s="112">
        <f t="shared" si="354"/>
        <v>60879.6</v>
      </c>
      <c r="AI357" s="112">
        <f t="shared" si="355"/>
        <v>80588.092000000004</v>
      </c>
      <c r="AJ357" s="112">
        <f t="shared" si="356"/>
        <v>71570.664000000004</v>
      </c>
      <c r="AK357" s="112">
        <f t="shared" si="367"/>
        <v>114995.85400000001</v>
      </c>
      <c r="AL357" s="112">
        <f t="shared" si="368"/>
        <v>131227.34400000001</v>
      </c>
      <c r="AN357" s="111" t="s">
        <v>131</v>
      </c>
      <c r="AO357" s="113">
        <f t="shared" ref="AO357:AW357" si="408">H357/H353</f>
        <v>0.45959088083799637</v>
      </c>
      <c r="AP357" s="113">
        <f t="shared" si="408"/>
        <v>0.46657353047161287</v>
      </c>
      <c r="AQ357" s="113">
        <f t="shared" si="408"/>
        <v>0.4855425350145946</v>
      </c>
      <c r="AR357" s="113">
        <f t="shared" si="408"/>
        <v>0.5234812275039501</v>
      </c>
      <c r="AS357" s="113">
        <f t="shared" si="408"/>
        <v>0.53279185642250326</v>
      </c>
      <c r="AT357" s="113">
        <f t="shared" si="408"/>
        <v>0.53057232906370611</v>
      </c>
      <c r="AU357" s="113">
        <f t="shared" si="408"/>
        <v>0.5449858786993762</v>
      </c>
      <c r="AV357" s="113">
        <f t="shared" si="408"/>
        <v>0.55862235496258794</v>
      </c>
      <c r="AW357" s="113">
        <f t="shared" si="408"/>
        <v>0.5855574435848182</v>
      </c>
      <c r="AY357" s="111" t="s">
        <v>131</v>
      </c>
      <c r="AZ357" s="179">
        <f t="shared" si="358"/>
        <v>1.3787726425139892E-2</v>
      </c>
      <c r="BA357" s="179">
        <f t="shared" si="359"/>
        <v>1.1197764731318709E-2</v>
      </c>
      <c r="BB357" s="179">
        <f t="shared" si="360"/>
        <v>1.165302084035027E-2</v>
      </c>
      <c r="BC357" s="179">
        <f t="shared" si="361"/>
        <v>1.2563549460094803E-2</v>
      </c>
      <c r="BD357" s="179">
        <f t="shared" si="362"/>
        <v>1.0655837128450064E-2</v>
      </c>
      <c r="BE357" s="179">
        <f t="shared" si="363"/>
        <v>1.3794880555656358E-2</v>
      </c>
      <c r="BF357" s="179">
        <f t="shared" si="364"/>
        <v>1.1989689331386277E-2</v>
      </c>
      <c r="BG357" s="179">
        <f t="shared" si="365"/>
        <v>1.8993160068727991E-2</v>
      </c>
      <c r="BH357" s="179">
        <f t="shared" si="366"/>
        <v>2.1080067969053456E-2</v>
      </c>
    </row>
    <row r="358" spans="2:68" x14ac:dyDescent="0.3">
      <c r="H358" s="122" t="s">
        <v>122</v>
      </c>
      <c r="I358" s="121">
        <v>2003</v>
      </c>
      <c r="J358" s="121">
        <v>2005</v>
      </c>
      <c r="K358" s="122" t="s">
        <v>123</v>
      </c>
      <c r="L358" s="122" t="s">
        <v>124</v>
      </c>
      <c r="M358" s="122" t="s">
        <v>125</v>
      </c>
      <c r="N358" s="122" t="s">
        <v>126</v>
      </c>
      <c r="O358" s="122" t="s">
        <v>127</v>
      </c>
      <c r="P358" s="122" t="s">
        <v>128</v>
      </c>
      <c r="R358" s="111"/>
      <c r="S358" s="120" t="s">
        <v>122</v>
      </c>
      <c r="T358" s="121">
        <v>2003</v>
      </c>
      <c r="U358" s="121">
        <v>2005</v>
      </c>
      <c r="V358" s="122" t="s">
        <v>123</v>
      </c>
      <c r="W358" s="122" t="s">
        <v>124</v>
      </c>
      <c r="X358" s="122" t="s">
        <v>125</v>
      </c>
      <c r="Y358" s="122" t="s">
        <v>126</v>
      </c>
      <c r="Z358" s="122" t="s">
        <v>127</v>
      </c>
      <c r="AA358" s="122" t="s">
        <v>128</v>
      </c>
      <c r="AC358" s="197" t="s">
        <v>8</v>
      </c>
      <c r="AD358" s="120" t="s">
        <v>122</v>
      </c>
      <c r="AE358" s="121">
        <v>2003</v>
      </c>
      <c r="AF358" s="121">
        <v>2005</v>
      </c>
      <c r="AG358" s="122" t="s">
        <v>123</v>
      </c>
      <c r="AH358" s="122" t="s">
        <v>124</v>
      </c>
      <c r="AI358" s="122" t="s">
        <v>125</v>
      </c>
      <c r="AJ358" s="122" t="s">
        <v>126</v>
      </c>
      <c r="AK358" s="122" t="s">
        <v>127</v>
      </c>
      <c r="AL358" s="122" t="s">
        <v>128</v>
      </c>
      <c r="AN358" s="197" t="s">
        <v>8</v>
      </c>
      <c r="AO358" s="120" t="s">
        <v>122</v>
      </c>
      <c r="AP358" s="121">
        <v>2003</v>
      </c>
      <c r="AQ358" s="121">
        <v>2005</v>
      </c>
      <c r="AR358" s="122" t="s">
        <v>123</v>
      </c>
      <c r="AS358" s="122" t="s">
        <v>124</v>
      </c>
      <c r="AT358" s="122" t="s">
        <v>125</v>
      </c>
      <c r="AU358" s="122" t="s">
        <v>126</v>
      </c>
      <c r="AV358" s="122" t="s">
        <v>127</v>
      </c>
      <c r="AW358" s="122" t="s">
        <v>128</v>
      </c>
      <c r="AY358" s="197" t="s">
        <v>8</v>
      </c>
      <c r="AZ358" s="120" t="s">
        <v>122</v>
      </c>
      <c r="BA358" s="121">
        <v>2003</v>
      </c>
      <c r="BB358" s="121">
        <v>2005</v>
      </c>
      <c r="BC358" s="122" t="s">
        <v>123</v>
      </c>
      <c r="BD358" s="122" t="s">
        <v>124</v>
      </c>
      <c r="BE358" s="122" t="s">
        <v>125</v>
      </c>
      <c r="BF358" s="122" t="s">
        <v>126</v>
      </c>
      <c r="BG358" s="122" t="s">
        <v>127</v>
      </c>
      <c r="BH358" s="122" t="s">
        <v>128</v>
      </c>
    </row>
    <row r="359" spans="2:68" s="87" customFormat="1" x14ac:dyDescent="0.25">
      <c r="B359" s="84"/>
      <c r="C359" s="85"/>
      <c r="D359" s="85"/>
      <c r="E359" s="109" t="s">
        <v>0</v>
      </c>
      <c r="F359" s="110" t="s">
        <v>65</v>
      </c>
      <c r="G359" s="195" t="s">
        <v>7</v>
      </c>
      <c r="H359" s="69">
        <v>120705</v>
      </c>
      <c r="I359" s="69">
        <v>122666</v>
      </c>
      <c r="J359" s="69">
        <v>123946</v>
      </c>
      <c r="K359" s="69">
        <v>124022</v>
      </c>
      <c r="L359" s="69">
        <v>125421</v>
      </c>
      <c r="M359" s="69">
        <v>124040</v>
      </c>
      <c r="N359" s="69">
        <v>122661</v>
      </c>
      <c r="O359" s="69">
        <v>123448</v>
      </c>
      <c r="P359" s="69">
        <v>119324</v>
      </c>
      <c r="R359" s="195" t="s">
        <v>7</v>
      </c>
      <c r="S359" s="226">
        <v>1.6</v>
      </c>
      <c r="T359" s="226">
        <v>1.6</v>
      </c>
      <c r="U359" s="226">
        <v>1.8</v>
      </c>
      <c r="V359" s="226">
        <v>1.9</v>
      </c>
      <c r="W359" s="226">
        <v>1.8</v>
      </c>
      <c r="X359" s="226">
        <v>2</v>
      </c>
      <c r="Y359" s="226">
        <v>1.9</v>
      </c>
      <c r="Z359" s="226">
        <v>2</v>
      </c>
      <c r="AA359" s="226">
        <v>1.9</v>
      </c>
      <c r="AC359" s="195" t="s">
        <v>7</v>
      </c>
      <c r="AD359" s="69">
        <f>2*(H359*S359/100)</f>
        <v>3862.56</v>
      </c>
      <c r="AE359" s="69">
        <f t="shared" ref="AE359:AE398" si="409">2*(I359*T359/100)</f>
        <v>3925.3119999999999</v>
      </c>
      <c r="AF359" s="69">
        <f t="shared" ref="AF359:AF398" si="410">2*(J359*U359/100)</f>
        <v>4462.0560000000005</v>
      </c>
      <c r="AG359" s="69">
        <f t="shared" ref="AG359:AG398" si="411">2*(K359*V359/100)</f>
        <v>4712.8359999999993</v>
      </c>
      <c r="AH359" s="69">
        <f t="shared" ref="AH359:AH398" si="412">2*(L359*W359/100)</f>
        <v>4515.1559999999999</v>
      </c>
      <c r="AI359" s="69">
        <f t="shared" ref="AI359:AI398" si="413">2*(M359*X359/100)</f>
        <v>4961.6000000000004</v>
      </c>
      <c r="AJ359" s="69">
        <f t="shared" ref="AJ359:AJ398" si="414">2*(N359*Y359/100)</f>
        <v>4661.1179999999995</v>
      </c>
      <c r="AK359" s="69">
        <f>2*(O359*Z359/100)</f>
        <v>4937.92</v>
      </c>
      <c r="AL359" s="69">
        <f>2*(P359*AA359/100)</f>
        <v>4534.3119999999999</v>
      </c>
      <c r="AN359" s="195" t="s">
        <v>7</v>
      </c>
      <c r="AO359" s="98">
        <f t="shared" ref="AO359:AW359" si="415">H359/H359</f>
        <v>1</v>
      </c>
      <c r="AP359" s="98">
        <f t="shared" si="415"/>
        <v>1</v>
      </c>
      <c r="AQ359" s="98">
        <f t="shared" si="415"/>
        <v>1</v>
      </c>
      <c r="AR359" s="98">
        <f t="shared" si="415"/>
        <v>1</v>
      </c>
      <c r="AS359" s="98">
        <f t="shared" si="415"/>
        <v>1</v>
      </c>
      <c r="AT359" s="98">
        <f t="shared" si="415"/>
        <v>1</v>
      </c>
      <c r="AU359" s="98">
        <f t="shared" si="415"/>
        <v>1</v>
      </c>
      <c r="AV359" s="98">
        <f t="shared" si="415"/>
        <v>1</v>
      </c>
      <c r="AW359" s="98">
        <f t="shared" si="415"/>
        <v>1</v>
      </c>
      <c r="AX359" s="191"/>
      <c r="AY359" s="195" t="s">
        <v>7</v>
      </c>
      <c r="AZ359" s="178">
        <f t="shared" ref="AZ359:AZ398" si="416">2*(S359*AO359/100)</f>
        <v>3.2000000000000001E-2</v>
      </c>
      <c r="BA359" s="178">
        <f t="shared" ref="BA359:BA398" si="417">2*(T359*AP359/100)</f>
        <v>3.2000000000000001E-2</v>
      </c>
      <c r="BB359" s="178">
        <f t="shared" ref="BB359:BB398" si="418">2*(U359*AQ359/100)</f>
        <v>3.6000000000000004E-2</v>
      </c>
      <c r="BC359" s="178">
        <f t="shared" ref="BC359:BC398" si="419">2*(V359*AR359/100)</f>
        <v>3.7999999999999999E-2</v>
      </c>
      <c r="BD359" s="178">
        <f t="shared" ref="BD359:BD398" si="420">2*(W359*AS359/100)</f>
        <v>3.6000000000000004E-2</v>
      </c>
      <c r="BE359" s="178">
        <f t="shared" ref="BE359:BE398" si="421">2*(X359*AT359/100)</f>
        <v>0.04</v>
      </c>
      <c r="BF359" s="178">
        <f t="shared" ref="BF359:BF398" si="422">2*(Y359*AU359/100)</f>
        <v>3.7999999999999999E-2</v>
      </c>
      <c r="BG359" s="178">
        <f t="shared" ref="BG359:BG398" si="423">2*(Z359*AV359/100)</f>
        <v>0.04</v>
      </c>
      <c r="BH359" s="178">
        <f t="shared" ref="BH359:BH398" si="424">2*(AA359*AW359/100)</f>
        <v>3.7999999999999999E-2</v>
      </c>
      <c r="BI359" s="191"/>
      <c r="BJ359" s="191"/>
      <c r="BK359" s="191"/>
      <c r="BL359" s="191"/>
      <c r="BM359" s="191"/>
      <c r="BN359" s="191"/>
      <c r="BO359" s="191"/>
      <c r="BP359" s="191"/>
    </row>
    <row r="360" spans="2:68" s="108" customFormat="1" x14ac:dyDescent="0.25">
      <c r="B360" s="107"/>
      <c r="E360" s="109" t="s">
        <v>0</v>
      </c>
      <c r="F360" s="110" t="s">
        <v>65</v>
      </c>
      <c r="G360" s="111" t="s">
        <v>54</v>
      </c>
      <c r="H360" s="112">
        <v>23945</v>
      </c>
      <c r="I360" s="112">
        <v>17275</v>
      </c>
      <c r="J360" s="112">
        <v>12343</v>
      </c>
      <c r="K360" s="112">
        <v>16987</v>
      </c>
      <c r="L360" s="112">
        <v>12509</v>
      </c>
      <c r="M360" s="112">
        <v>12798</v>
      </c>
      <c r="N360" s="112">
        <v>7524</v>
      </c>
      <c r="O360" s="112">
        <v>8715</v>
      </c>
      <c r="P360" s="112">
        <v>5168</v>
      </c>
      <c r="R360" s="111" t="s">
        <v>54</v>
      </c>
      <c r="S360" s="220">
        <v>9.5</v>
      </c>
      <c r="T360" s="220">
        <v>14.2</v>
      </c>
      <c r="U360" s="220">
        <v>14.8</v>
      </c>
      <c r="V360" s="220">
        <v>14</v>
      </c>
      <c r="W360" s="220">
        <v>18.100000000000001</v>
      </c>
      <c r="X360" s="220">
        <v>19.3</v>
      </c>
      <c r="Y360" s="220">
        <v>24.3</v>
      </c>
      <c r="Z360" s="220">
        <v>22</v>
      </c>
      <c r="AA360" s="220">
        <v>29.7</v>
      </c>
      <c r="AC360" s="111" t="s">
        <v>54</v>
      </c>
      <c r="AD360" s="112">
        <f>2*(H360*S360/100)</f>
        <v>4549.55</v>
      </c>
      <c r="AE360" s="112">
        <f t="shared" si="409"/>
        <v>4906.1000000000004</v>
      </c>
      <c r="AF360" s="112">
        <f t="shared" si="410"/>
        <v>3653.5280000000002</v>
      </c>
      <c r="AG360" s="112">
        <f t="shared" si="411"/>
        <v>4756.3599999999997</v>
      </c>
      <c r="AH360" s="112">
        <f t="shared" si="412"/>
        <v>4528.2580000000007</v>
      </c>
      <c r="AI360" s="112">
        <f t="shared" si="413"/>
        <v>4940.0280000000002</v>
      </c>
      <c r="AJ360" s="112">
        <f t="shared" si="414"/>
        <v>3656.6640000000002</v>
      </c>
      <c r="AK360" s="112">
        <f t="shared" ref="AK360:AK398" si="425">2*(O360*Z360/100)</f>
        <v>3834.6</v>
      </c>
      <c r="AL360" s="112">
        <f t="shared" ref="AL360:AL398" si="426">2*(P360*AA360/100)</f>
        <v>3069.7919999999999</v>
      </c>
      <c r="AN360" s="111" t="s">
        <v>54</v>
      </c>
      <c r="AO360" s="113">
        <f t="shared" ref="AO360:AW360" si="427">H360/H359</f>
        <v>0.19837620645375087</v>
      </c>
      <c r="AP360" s="113">
        <f t="shared" si="427"/>
        <v>0.14082956972592242</v>
      </c>
      <c r="AQ360" s="113">
        <f t="shared" si="427"/>
        <v>9.958368967130847E-2</v>
      </c>
      <c r="AR360" s="113">
        <f t="shared" si="427"/>
        <v>0.13696763477447549</v>
      </c>
      <c r="AS360" s="113">
        <f t="shared" si="427"/>
        <v>9.9736088852743959E-2</v>
      </c>
      <c r="AT360" s="113">
        <f t="shared" si="427"/>
        <v>0.10317639471138343</v>
      </c>
      <c r="AU360" s="113">
        <f t="shared" si="427"/>
        <v>6.1339790153349477E-2</v>
      </c>
      <c r="AV360" s="113">
        <f t="shared" si="427"/>
        <v>7.0596526472684856E-2</v>
      </c>
      <c r="AW360" s="113">
        <f t="shared" si="427"/>
        <v>4.3310649994971674E-2</v>
      </c>
      <c r="AY360" s="111" t="s">
        <v>54</v>
      </c>
      <c r="AZ360" s="179">
        <f t="shared" si="416"/>
        <v>3.7691479226212667E-2</v>
      </c>
      <c r="BA360" s="179">
        <f t="shared" si="417"/>
        <v>3.999559780216197E-2</v>
      </c>
      <c r="BB360" s="179">
        <f t="shared" si="418"/>
        <v>2.947677214270731E-2</v>
      </c>
      <c r="BC360" s="179">
        <f t="shared" si="419"/>
        <v>3.8350937736853136E-2</v>
      </c>
      <c r="BD360" s="179">
        <f t="shared" si="420"/>
        <v>3.6104464164693317E-2</v>
      </c>
      <c r="BE360" s="179">
        <f t="shared" si="421"/>
        <v>3.9826088358594004E-2</v>
      </c>
      <c r="BF360" s="179">
        <f t="shared" si="422"/>
        <v>2.9811138014527849E-2</v>
      </c>
      <c r="BG360" s="179">
        <f t="shared" si="423"/>
        <v>3.1062471647981336E-2</v>
      </c>
      <c r="BH360" s="179">
        <f t="shared" si="424"/>
        <v>2.5726526097013175E-2</v>
      </c>
    </row>
    <row r="361" spans="2:68" s="108" customFormat="1" x14ac:dyDescent="0.25">
      <c r="B361" s="107"/>
      <c r="E361" s="109" t="s">
        <v>0</v>
      </c>
      <c r="F361" s="110" t="s">
        <v>65</v>
      </c>
      <c r="G361" s="111" t="s">
        <v>55</v>
      </c>
      <c r="H361" s="70">
        <v>3158</v>
      </c>
      <c r="I361" s="70">
        <v>3443</v>
      </c>
      <c r="J361" s="112" t="s">
        <v>129</v>
      </c>
      <c r="K361" s="112" t="s">
        <v>129</v>
      </c>
      <c r="L361" s="112" t="s">
        <v>129</v>
      </c>
      <c r="M361" s="112" t="s">
        <v>129</v>
      </c>
      <c r="N361" s="112" t="s">
        <v>129</v>
      </c>
      <c r="O361" s="112" t="s">
        <v>129</v>
      </c>
      <c r="P361" s="112" t="s">
        <v>129</v>
      </c>
      <c r="R361" s="111" t="s">
        <v>55</v>
      </c>
      <c r="S361" s="81">
        <v>29.2</v>
      </c>
      <c r="T361" s="81">
        <v>35.200000000000003</v>
      </c>
      <c r="U361" s="81" t="s">
        <v>129</v>
      </c>
      <c r="V361" s="81" t="s">
        <v>129</v>
      </c>
      <c r="W361" s="81" t="s">
        <v>129</v>
      </c>
      <c r="X361" s="81" t="s">
        <v>129</v>
      </c>
      <c r="Y361" s="81" t="s">
        <v>129</v>
      </c>
      <c r="Z361" s="81" t="s">
        <v>129</v>
      </c>
      <c r="AA361" s="81" t="s">
        <v>129</v>
      </c>
      <c r="AC361" s="111" t="s">
        <v>55</v>
      </c>
      <c r="AD361" s="70">
        <f t="shared" ref="AD361:AD398" si="428">2*(H361*S361/100)</f>
        <v>1844.2719999999999</v>
      </c>
      <c r="AE361" s="70">
        <f t="shared" si="409"/>
        <v>2423.8720000000003</v>
      </c>
      <c r="AF361" s="70" t="e">
        <f t="shared" si="410"/>
        <v>#VALUE!</v>
      </c>
      <c r="AG361" s="70" t="e">
        <f t="shared" si="411"/>
        <v>#VALUE!</v>
      </c>
      <c r="AH361" s="70" t="e">
        <f t="shared" si="412"/>
        <v>#VALUE!</v>
      </c>
      <c r="AI361" s="70" t="e">
        <f t="shared" si="413"/>
        <v>#VALUE!</v>
      </c>
      <c r="AJ361" s="70" t="e">
        <f t="shared" si="414"/>
        <v>#VALUE!</v>
      </c>
      <c r="AK361" s="70" t="e">
        <f t="shared" si="425"/>
        <v>#VALUE!</v>
      </c>
      <c r="AL361" s="70" t="e">
        <f t="shared" si="426"/>
        <v>#VALUE!</v>
      </c>
      <c r="AN361" s="111" t="s">
        <v>55</v>
      </c>
      <c r="AO361" s="113">
        <f t="shared" ref="AO361:AW361" si="429">H361/H359</f>
        <v>2.6162959280891431E-2</v>
      </c>
      <c r="AP361" s="113">
        <f t="shared" si="429"/>
        <v>2.8068087326561558E-2</v>
      </c>
      <c r="AQ361" s="113" t="e">
        <f t="shared" si="429"/>
        <v>#VALUE!</v>
      </c>
      <c r="AR361" s="113" t="e">
        <f t="shared" si="429"/>
        <v>#VALUE!</v>
      </c>
      <c r="AS361" s="113" t="e">
        <f t="shared" si="429"/>
        <v>#VALUE!</v>
      </c>
      <c r="AT361" s="113" t="e">
        <f t="shared" si="429"/>
        <v>#VALUE!</v>
      </c>
      <c r="AU361" s="113" t="e">
        <f t="shared" si="429"/>
        <v>#VALUE!</v>
      </c>
      <c r="AV361" s="113" t="e">
        <f t="shared" si="429"/>
        <v>#VALUE!</v>
      </c>
      <c r="AW361" s="113" t="e">
        <f t="shared" si="429"/>
        <v>#VALUE!</v>
      </c>
      <c r="AY361" s="111" t="s">
        <v>55</v>
      </c>
      <c r="AZ361" s="179">
        <f t="shared" si="416"/>
        <v>1.5279168220040596E-2</v>
      </c>
      <c r="BA361" s="179">
        <f t="shared" si="417"/>
        <v>1.9759933477899339E-2</v>
      </c>
      <c r="BB361" s="179" t="e">
        <f t="shared" si="418"/>
        <v>#VALUE!</v>
      </c>
      <c r="BC361" s="179" t="e">
        <f t="shared" si="419"/>
        <v>#VALUE!</v>
      </c>
      <c r="BD361" s="179" t="e">
        <f t="shared" si="420"/>
        <v>#VALUE!</v>
      </c>
      <c r="BE361" s="179" t="e">
        <f t="shared" si="421"/>
        <v>#VALUE!</v>
      </c>
      <c r="BF361" s="179" t="e">
        <f t="shared" si="422"/>
        <v>#VALUE!</v>
      </c>
      <c r="BG361" s="179" t="e">
        <f t="shared" si="423"/>
        <v>#VALUE!</v>
      </c>
      <c r="BH361" s="179" t="e">
        <f t="shared" si="424"/>
        <v>#VALUE!</v>
      </c>
    </row>
    <row r="362" spans="2:68" s="108" customFormat="1" x14ac:dyDescent="0.25">
      <c r="B362" s="107"/>
      <c r="E362" s="109" t="s">
        <v>0</v>
      </c>
      <c r="F362" s="110" t="s">
        <v>65</v>
      </c>
      <c r="G362" s="111" t="s">
        <v>130</v>
      </c>
      <c r="H362" s="70">
        <v>12909</v>
      </c>
      <c r="I362" s="70">
        <v>12090</v>
      </c>
      <c r="J362" s="70">
        <v>7971</v>
      </c>
      <c r="K362" s="70">
        <v>8687</v>
      </c>
      <c r="L362" s="70">
        <v>8484</v>
      </c>
      <c r="M362" s="70">
        <v>8296</v>
      </c>
      <c r="N362" s="70">
        <v>7170</v>
      </c>
      <c r="O362" s="112" t="s">
        <v>129</v>
      </c>
      <c r="P362" s="112">
        <v>8983</v>
      </c>
      <c r="R362" s="111" t="s">
        <v>130</v>
      </c>
      <c r="S362" s="220">
        <v>14</v>
      </c>
      <c r="T362" s="220">
        <v>16.899999999999999</v>
      </c>
      <c r="U362" s="220">
        <v>21.1</v>
      </c>
      <c r="V362" s="220">
        <v>20.3</v>
      </c>
      <c r="W362" s="220">
        <v>23.8</v>
      </c>
      <c r="X362" s="220">
        <v>24.3</v>
      </c>
      <c r="Y362" s="220">
        <v>24.3</v>
      </c>
      <c r="Z362" s="220" t="s">
        <v>129</v>
      </c>
      <c r="AA362" s="220">
        <v>23.1</v>
      </c>
      <c r="AC362" s="111" t="s">
        <v>130</v>
      </c>
      <c r="AD362" s="70">
        <f t="shared" si="428"/>
        <v>3614.52</v>
      </c>
      <c r="AE362" s="70">
        <f t="shared" si="409"/>
        <v>4086.4199999999996</v>
      </c>
      <c r="AF362" s="70">
        <f t="shared" si="410"/>
        <v>3363.7620000000002</v>
      </c>
      <c r="AG362" s="70">
        <f t="shared" si="411"/>
        <v>3526.922</v>
      </c>
      <c r="AH362" s="70">
        <f t="shared" si="412"/>
        <v>4038.384</v>
      </c>
      <c r="AI362" s="70">
        <f t="shared" si="413"/>
        <v>4031.8560000000002</v>
      </c>
      <c r="AJ362" s="70">
        <f t="shared" si="414"/>
        <v>3484.62</v>
      </c>
      <c r="AK362" s="70" t="e">
        <f t="shared" si="425"/>
        <v>#VALUE!</v>
      </c>
      <c r="AL362" s="70">
        <f t="shared" si="426"/>
        <v>4150.1460000000006</v>
      </c>
      <c r="AN362" s="111" t="s">
        <v>130</v>
      </c>
      <c r="AO362" s="113">
        <f t="shared" ref="AO362:AW362" si="430">H362/H359</f>
        <v>0.10694668820678514</v>
      </c>
      <c r="AP362" s="113">
        <f t="shared" si="430"/>
        <v>9.8560318262599256E-2</v>
      </c>
      <c r="AQ362" s="113">
        <f t="shared" si="430"/>
        <v>6.431026414728995E-2</v>
      </c>
      <c r="AR362" s="113">
        <f t="shared" si="430"/>
        <v>7.0044024447275477E-2</v>
      </c>
      <c r="AS362" s="113">
        <f t="shared" si="430"/>
        <v>6.7644174420551581E-2</v>
      </c>
      <c r="AT362" s="113">
        <f t="shared" si="430"/>
        <v>6.6881651080296672E-2</v>
      </c>
      <c r="AU362" s="113">
        <f t="shared" si="430"/>
        <v>5.8453787267346589E-2</v>
      </c>
      <c r="AV362" s="113" t="e">
        <f t="shared" si="430"/>
        <v>#VALUE!</v>
      </c>
      <c r="AW362" s="113">
        <f t="shared" si="430"/>
        <v>7.5282424323690117E-2</v>
      </c>
      <c r="AY362" s="111" t="s">
        <v>130</v>
      </c>
      <c r="AZ362" s="179">
        <f t="shared" si="416"/>
        <v>2.9945072697899842E-2</v>
      </c>
      <c r="BA362" s="179">
        <f t="shared" si="417"/>
        <v>3.3313387572758549E-2</v>
      </c>
      <c r="BB362" s="179">
        <f t="shared" si="418"/>
        <v>2.7138931470156363E-2</v>
      </c>
      <c r="BC362" s="179">
        <f t="shared" si="419"/>
        <v>2.8437873925593844E-2</v>
      </c>
      <c r="BD362" s="179">
        <f t="shared" si="420"/>
        <v>3.2198627024182552E-2</v>
      </c>
      <c r="BE362" s="179">
        <f t="shared" si="421"/>
        <v>3.2504482425024184E-2</v>
      </c>
      <c r="BF362" s="179">
        <f t="shared" si="422"/>
        <v>2.8408540611930443E-2</v>
      </c>
      <c r="BG362" s="179" t="e">
        <f t="shared" si="423"/>
        <v>#VALUE!</v>
      </c>
      <c r="BH362" s="179">
        <f t="shared" si="424"/>
        <v>3.4780480037544838E-2</v>
      </c>
    </row>
    <row r="363" spans="2:68" s="108" customFormat="1" x14ac:dyDescent="0.25">
      <c r="B363" s="107"/>
      <c r="E363" s="109" t="s">
        <v>0</v>
      </c>
      <c r="F363" s="110" t="s">
        <v>65</v>
      </c>
      <c r="G363" s="111" t="s">
        <v>131</v>
      </c>
      <c r="H363" s="112">
        <v>80693</v>
      </c>
      <c r="I363" s="112">
        <v>89558</v>
      </c>
      <c r="J363" s="112">
        <v>100713</v>
      </c>
      <c r="K363" s="112">
        <v>94826</v>
      </c>
      <c r="L363" s="112">
        <v>101354</v>
      </c>
      <c r="M363" s="112">
        <v>100583</v>
      </c>
      <c r="N363" s="112">
        <v>106319</v>
      </c>
      <c r="O363" s="112">
        <v>108097</v>
      </c>
      <c r="P363" s="112">
        <v>104890</v>
      </c>
      <c r="R363" s="111" t="s">
        <v>131</v>
      </c>
      <c r="S363" s="220">
        <v>5.4</v>
      </c>
      <c r="T363" s="220">
        <v>3.7</v>
      </c>
      <c r="U363" s="220">
        <v>3.6</v>
      </c>
      <c r="V363" s="220">
        <v>3.4</v>
      </c>
      <c r="W363" s="220">
        <v>3.8</v>
      </c>
      <c r="X363" s="220">
        <v>2.7</v>
      </c>
      <c r="Y363" s="220">
        <v>3.2</v>
      </c>
      <c r="Z363" s="220">
        <v>2</v>
      </c>
      <c r="AA363" s="220">
        <v>3.7</v>
      </c>
      <c r="AC363" s="111" t="s">
        <v>131</v>
      </c>
      <c r="AD363" s="112">
        <f t="shared" si="428"/>
        <v>8714.844000000001</v>
      </c>
      <c r="AE363" s="112">
        <f t="shared" si="409"/>
        <v>6627.2920000000004</v>
      </c>
      <c r="AF363" s="112">
        <f t="shared" si="410"/>
        <v>7251.3359999999993</v>
      </c>
      <c r="AG363" s="112">
        <f t="shared" si="411"/>
        <v>6448.1679999999997</v>
      </c>
      <c r="AH363" s="112">
        <f t="shared" si="412"/>
        <v>7702.9039999999986</v>
      </c>
      <c r="AI363" s="112">
        <f t="shared" si="413"/>
        <v>5431.4820000000009</v>
      </c>
      <c r="AJ363" s="112">
        <f t="shared" si="414"/>
        <v>6804.4160000000011</v>
      </c>
      <c r="AK363" s="112">
        <f t="shared" si="425"/>
        <v>4323.88</v>
      </c>
      <c r="AL363" s="112">
        <f t="shared" si="426"/>
        <v>7761.86</v>
      </c>
      <c r="AN363" s="111" t="s">
        <v>131</v>
      </c>
      <c r="AO363" s="113">
        <f t="shared" ref="AO363:AW363" si="431">H363/H359</f>
        <v>0.66851414605857251</v>
      </c>
      <c r="AP363" s="113">
        <f t="shared" si="431"/>
        <v>0.73009635921934357</v>
      </c>
      <c r="AQ363" s="113">
        <f t="shared" si="431"/>
        <v>0.81255546770367737</v>
      </c>
      <c r="AR363" s="113">
        <f t="shared" si="431"/>
        <v>0.76459015335988778</v>
      </c>
      <c r="AS363" s="113">
        <f t="shared" si="431"/>
        <v>0.8081102845615965</v>
      </c>
      <c r="AT363" s="113">
        <f t="shared" si="431"/>
        <v>0.81089164785553047</v>
      </c>
      <c r="AU363" s="113">
        <f t="shared" si="431"/>
        <v>0.86677101931339218</v>
      </c>
      <c r="AV363" s="113">
        <f t="shared" si="431"/>
        <v>0.87564804614088521</v>
      </c>
      <c r="AW363" s="113">
        <f t="shared" si="431"/>
        <v>0.87903523180583953</v>
      </c>
      <c r="AY363" s="111" t="s">
        <v>131</v>
      </c>
      <c r="AZ363" s="179">
        <f t="shared" si="416"/>
        <v>7.2199527774325839E-2</v>
      </c>
      <c r="BA363" s="179">
        <f t="shared" si="417"/>
        <v>5.4027130582231429E-2</v>
      </c>
      <c r="BB363" s="179">
        <f t="shared" si="418"/>
        <v>5.8503993674664773E-2</v>
      </c>
      <c r="BC363" s="179">
        <f t="shared" si="419"/>
        <v>5.1992130428472373E-2</v>
      </c>
      <c r="BD363" s="179">
        <f t="shared" si="420"/>
        <v>6.1416381626681338E-2</v>
      </c>
      <c r="BE363" s="179">
        <f t="shared" si="421"/>
        <v>4.3788148984198652E-2</v>
      </c>
      <c r="BF363" s="179">
        <f t="shared" si="422"/>
        <v>5.5473345236057098E-2</v>
      </c>
      <c r="BG363" s="179">
        <f t="shared" si="423"/>
        <v>3.502592184563541E-2</v>
      </c>
      <c r="BH363" s="179">
        <f t="shared" si="424"/>
        <v>6.5048607153632129E-2</v>
      </c>
    </row>
    <row r="364" spans="2:68" s="87" customFormat="1" x14ac:dyDescent="0.25">
      <c r="B364" s="84"/>
      <c r="C364" s="85"/>
      <c r="D364" s="85"/>
      <c r="E364" s="109" t="s">
        <v>1</v>
      </c>
      <c r="F364" s="110" t="s">
        <v>65</v>
      </c>
      <c r="G364" s="195" t="s">
        <v>7</v>
      </c>
      <c r="H364" s="69">
        <v>146135</v>
      </c>
      <c r="I364" s="69">
        <v>145989</v>
      </c>
      <c r="J364" s="69">
        <v>151365</v>
      </c>
      <c r="K364" s="69">
        <v>153267</v>
      </c>
      <c r="L364" s="69">
        <v>159709</v>
      </c>
      <c r="M364" s="69">
        <v>165352</v>
      </c>
      <c r="N364" s="69">
        <v>168105</v>
      </c>
      <c r="O364" s="69">
        <v>169420</v>
      </c>
      <c r="P364" s="69">
        <v>168500</v>
      </c>
      <c r="R364" s="195" t="s">
        <v>7</v>
      </c>
      <c r="S364" s="226">
        <v>1.4</v>
      </c>
      <c r="T364" s="226">
        <v>1.6</v>
      </c>
      <c r="U364" s="226">
        <v>1.3</v>
      </c>
      <c r="V364" s="226">
        <v>1.3</v>
      </c>
      <c r="W364" s="226">
        <v>1.8</v>
      </c>
      <c r="X364" s="226">
        <v>1.6</v>
      </c>
      <c r="Y364" s="226">
        <v>1.7</v>
      </c>
      <c r="Z364" s="226">
        <v>1.7</v>
      </c>
      <c r="AA364" s="226">
        <v>1.7</v>
      </c>
      <c r="AC364" s="195" t="s">
        <v>7</v>
      </c>
      <c r="AD364" s="69">
        <f t="shared" si="428"/>
        <v>4091.78</v>
      </c>
      <c r="AE364" s="69">
        <f t="shared" si="409"/>
        <v>4671.6480000000001</v>
      </c>
      <c r="AF364" s="69">
        <f t="shared" si="410"/>
        <v>3935.49</v>
      </c>
      <c r="AG364" s="69">
        <f t="shared" si="411"/>
        <v>3984.942</v>
      </c>
      <c r="AH364" s="69">
        <f t="shared" si="412"/>
        <v>5749.5240000000003</v>
      </c>
      <c r="AI364" s="69">
        <f t="shared" si="413"/>
        <v>5291.2640000000001</v>
      </c>
      <c r="AJ364" s="69">
        <f t="shared" si="414"/>
        <v>5715.57</v>
      </c>
      <c r="AK364" s="69">
        <f t="shared" si="425"/>
        <v>5760.28</v>
      </c>
      <c r="AL364" s="69">
        <f t="shared" si="426"/>
        <v>5729</v>
      </c>
      <c r="AN364" s="195" t="s">
        <v>7</v>
      </c>
      <c r="AO364" s="98">
        <f t="shared" ref="AO364:AW364" si="432">H364/H364</f>
        <v>1</v>
      </c>
      <c r="AP364" s="98">
        <f t="shared" si="432"/>
        <v>1</v>
      </c>
      <c r="AQ364" s="98">
        <f t="shared" si="432"/>
        <v>1</v>
      </c>
      <c r="AR364" s="98">
        <f t="shared" si="432"/>
        <v>1</v>
      </c>
      <c r="AS364" s="98">
        <f t="shared" si="432"/>
        <v>1</v>
      </c>
      <c r="AT364" s="98">
        <f t="shared" si="432"/>
        <v>1</v>
      </c>
      <c r="AU364" s="98">
        <f t="shared" si="432"/>
        <v>1</v>
      </c>
      <c r="AV364" s="98">
        <f t="shared" si="432"/>
        <v>1</v>
      </c>
      <c r="AW364" s="98">
        <f t="shared" si="432"/>
        <v>1</v>
      </c>
      <c r="AX364" s="191"/>
      <c r="AY364" s="195" t="s">
        <v>7</v>
      </c>
      <c r="AZ364" s="178">
        <f t="shared" si="416"/>
        <v>2.7999999999999997E-2</v>
      </c>
      <c r="BA364" s="178">
        <f t="shared" si="417"/>
        <v>3.2000000000000001E-2</v>
      </c>
      <c r="BB364" s="178">
        <f t="shared" si="418"/>
        <v>2.6000000000000002E-2</v>
      </c>
      <c r="BC364" s="178">
        <f t="shared" si="419"/>
        <v>2.6000000000000002E-2</v>
      </c>
      <c r="BD364" s="178">
        <f t="shared" si="420"/>
        <v>3.6000000000000004E-2</v>
      </c>
      <c r="BE364" s="178">
        <f t="shared" si="421"/>
        <v>3.2000000000000001E-2</v>
      </c>
      <c r="BF364" s="178">
        <f t="shared" si="422"/>
        <v>3.4000000000000002E-2</v>
      </c>
      <c r="BG364" s="178">
        <f t="shared" si="423"/>
        <v>3.4000000000000002E-2</v>
      </c>
      <c r="BH364" s="178">
        <f t="shared" si="424"/>
        <v>3.4000000000000002E-2</v>
      </c>
      <c r="BI364" s="191"/>
      <c r="BJ364" s="191"/>
      <c r="BK364" s="191"/>
      <c r="BL364" s="191"/>
      <c r="BM364" s="191"/>
      <c r="BN364" s="191"/>
      <c r="BO364" s="191"/>
      <c r="BP364" s="191"/>
    </row>
    <row r="365" spans="2:68" s="108" customFormat="1" x14ac:dyDescent="0.25">
      <c r="B365" s="107"/>
      <c r="E365" s="109" t="s">
        <v>1</v>
      </c>
      <c r="F365" s="110" t="s">
        <v>65</v>
      </c>
      <c r="G365" s="111" t="s">
        <v>54</v>
      </c>
      <c r="H365" s="112">
        <v>49946</v>
      </c>
      <c r="I365" s="112">
        <v>44834</v>
      </c>
      <c r="J365" s="112">
        <v>41602</v>
      </c>
      <c r="K365" s="112">
        <v>49253</v>
      </c>
      <c r="L365" s="112">
        <v>39648</v>
      </c>
      <c r="M365" s="112">
        <v>46367</v>
      </c>
      <c r="N365" s="112">
        <v>46233</v>
      </c>
      <c r="O365" s="112">
        <v>38332</v>
      </c>
      <c r="P365" s="112">
        <v>35537</v>
      </c>
      <c r="R365" s="111" t="s">
        <v>54</v>
      </c>
      <c r="S365" s="220">
        <v>6.4</v>
      </c>
      <c r="T365" s="220">
        <v>8.1</v>
      </c>
      <c r="U365" s="220">
        <v>7</v>
      </c>
      <c r="V365" s="220">
        <v>7.4</v>
      </c>
      <c r="W365" s="220">
        <v>10.1</v>
      </c>
      <c r="X365" s="220">
        <v>9.1</v>
      </c>
      <c r="Y365" s="220">
        <v>8.5</v>
      </c>
      <c r="Z365" s="220">
        <v>9.4</v>
      </c>
      <c r="AA365" s="220">
        <v>10.1</v>
      </c>
      <c r="AC365" s="111" t="s">
        <v>54</v>
      </c>
      <c r="AD365" s="112">
        <f t="shared" si="428"/>
        <v>6393.0880000000006</v>
      </c>
      <c r="AE365" s="112">
        <f t="shared" si="409"/>
        <v>7263.1079999999993</v>
      </c>
      <c r="AF365" s="112">
        <f t="shared" si="410"/>
        <v>5824.28</v>
      </c>
      <c r="AG365" s="112">
        <f t="shared" si="411"/>
        <v>7289.4440000000004</v>
      </c>
      <c r="AH365" s="112">
        <f t="shared" si="412"/>
        <v>8008.8959999999997</v>
      </c>
      <c r="AI365" s="112">
        <f t="shared" si="413"/>
        <v>8438.7939999999999</v>
      </c>
      <c r="AJ365" s="112">
        <f t="shared" si="414"/>
        <v>7859.61</v>
      </c>
      <c r="AK365" s="112">
        <f t="shared" si="425"/>
        <v>7206.4160000000002</v>
      </c>
      <c r="AL365" s="112">
        <f t="shared" si="426"/>
        <v>7178.4740000000002</v>
      </c>
      <c r="AN365" s="111" t="s">
        <v>54</v>
      </c>
      <c r="AO365" s="113">
        <f t="shared" ref="AO365:AW365" si="433">H365/H364</f>
        <v>0.34177986108735076</v>
      </c>
      <c r="AP365" s="113">
        <f t="shared" si="433"/>
        <v>0.3071053298536191</v>
      </c>
      <c r="AQ365" s="113">
        <f t="shared" si="433"/>
        <v>0.27484557196181414</v>
      </c>
      <c r="AR365" s="113">
        <f t="shared" si="433"/>
        <v>0.32135423802906038</v>
      </c>
      <c r="AS365" s="113">
        <f t="shared" si="433"/>
        <v>0.24825150742913674</v>
      </c>
      <c r="AT365" s="113">
        <f t="shared" si="433"/>
        <v>0.28041390488170692</v>
      </c>
      <c r="AU365" s="113">
        <f t="shared" si="433"/>
        <v>0.2750245382350317</v>
      </c>
      <c r="AV365" s="113">
        <f t="shared" si="433"/>
        <v>0.22625427930586708</v>
      </c>
      <c r="AW365" s="113">
        <f t="shared" si="433"/>
        <v>0.2109020771513353</v>
      </c>
      <c r="AY365" s="111" t="s">
        <v>54</v>
      </c>
      <c r="AZ365" s="179">
        <f t="shared" si="416"/>
        <v>4.3747822219180901E-2</v>
      </c>
      <c r="BA365" s="179">
        <f t="shared" si="417"/>
        <v>4.975106343628629E-2</v>
      </c>
      <c r="BB365" s="179">
        <f t="shared" si="418"/>
        <v>3.8478380074653977E-2</v>
      </c>
      <c r="BC365" s="179">
        <f t="shared" si="419"/>
        <v>4.7560427228300936E-2</v>
      </c>
      <c r="BD365" s="179">
        <f t="shared" si="420"/>
        <v>5.0146804500685621E-2</v>
      </c>
      <c r="BE365" s="179">
        <f t="shared" si="421"/>
        <v>5.1035330688470652E-2</v>
      </c>
      <c r="BF365" s="179">
        <f t="shared" si="422"/>
        <v>4.6754171499955394E-2</v>
      </c>
      <c r="BG365" s="179">
        <f t="shared" si="423"/>
        <v>4.2535804509503013E-2</v>
      </c>
      <c r="BH365" s="179">
        <f t="shared" si="424"/>
        <v>4.260221958456973E-2</v>
      </c>
    </row>
    <row r="366" spans="2:68" s="108" customFormat="1" x14ac:dyDescent="0.25">
      <c r="B366" s="107"/>
      <c r="E366" s="109" t="s">
        <v>1</v>
      </c>
      <c r="F366" s="110" t="s">
        <v>65</v>
      </c>
      <c r="G366" s="111" t="s">
        <v>55</v>
      </c>
      <c r="H366" s="70">
        <v>19052</v>
      </c>
      <c r="I366" s="70">
        <v>24029</v>
      </c>
      <c r="J366" s="70">
        <v>21058</v>
      </c>
      <c r="K366" s="70">
        <v>21598</v>
      </c>
      <c r="L366" s="70">
        <v>18532</v>
      </c>
      <c r="M366" s="70">
        <v>19879</v>
      </c>
      <c r="N366" s="70">
        <v>15747</v>
      </c>
      <c r="O366" s="112">
        <v>12486</v>
      </c>
      <c r="P366" s="112">
        <v>15741</v>
      </c>
      <c r="R366" s="111" t="s">
        <v>55</v>
      </c>
      <c r="S366" s="81">
        <v>11.1</v>
      </c>
      <c r="T366" s="81">
        <v>11.6</v>
      </c>
      <c r="U366" s="81">
        <v>11.9</v>
      </c>
      <c r="V366" s="81">
        <v>12.5</v>
      </c>
      <c r="W366" s="81">
        <v>15.9</v>
      </c>
      <c r="X366" s="81">
        <v>15.3</v>
      </c>
      <c r="Y366" s="81">
        <v>16.600000000000001</v>
      </c>
      <c r="Z366" s="81">
        <v>18</v>
      </c>
      <c r="AA366" s="81">
        <v>16.899999999999999</v>
      </c>
      <c r="AC366" s="111" t="s">
        <v>55</v>
      </c>
      <c r="AD366" s="70">
        <f t="shared" si="428"/>
        <v>4229.5439999999999</v>
      </c>
      <c r="AE366" s="70">
        <f t="shared" si="409"/>
        <v>5574.7279999999992</v>
      </c>
      <c r="AF366" s="70">
        <f t="shared" si="410"/>
        <v>5011.8040000000001</v>
      </c>
      <c r="AG366" s="70">
        <f t="shared" si="411"/>
        <v>5399.5</v>
      </c>
      <c r="AH366" s="70">
        <f t="shared" si="412"/>
        <v>5893.1759999999995</v>
      </c>
      <c r="AI366" s="70">
        <f t="shared" si="413"/>
        <v>6082.9740000000002</v>
      </c>
      <c r="AJ366" s="70">
        <f t="shared" si="414"/>
        <v>5228.0039999999999</v>
      </c>
      <c r="AK366" s="70">
        <f t="shared" si="425"/>
        <v>4494.96</v>
      </c>
      <c r="AL366" s="70">
        <f t="shared" si="426"/>
        <v>5320.4579999999996</v>
      </c>
      <c r="AN366" s="111" t="s">
        <v>55</v>
      </c>
      <c r="AO366" s="113">
        <f t="shared" ref="AO366:AW366" si="434">H366/H364</f>
        <v>0.13037260067745579</v>
      </c>
      <c r="AP366" s="113">
        <f t="shared" si="434"/>
        <v>0.16459459274328889</v>
      </c>
      <c r="AQ366" s="113">
        <f t="shared" si="434"/>
        <v>0.13912066858256533</v>
      </c>
      <c r="AR366" s="113">
        <f t="shared" si="434"/>
        <v>0.14091748386802116</v>
      </c>
      <c r="AS366" s="113">
        <f t="shared" si="434"/>
        <v>0.11603604054874804</v>
      </c>
      <c r="AT366" s="113">
        <f t="shared" si="434"/>
        <v>0.12022231360975373</v>
      </c>
      <c r="AU366" s="113">
        <f t="shared" si="434"/>
        <v>9.3673596859105909E-2</v>
      </c>
      <c r="AV366" s="113">
        <f t="shared" si="434"/>
        <v>7.3698500767323816E-2</v>
      </c>
      <c r="AW366" s="113">
        <f t="shared" si="434"/>
        <v>9.3418397626112759E-2</v>
      </c>
      <c r="AY366" s="111" t="s">
        <v>55</v>
      </c>
      <c r="AZ366" s="179">
        <f t="shared" si="416"/>
        <v>2.8942717350395185E-2</v>
      </c>
      <c r="BA366" s="179">
        <f t="shared" si="417"/>
        <v>3.8185945516443019E-2</v>
      </c>
      <c r="BB366" s="179">
        <f t="shared" si="418"/>
        <v>3.3110719122650553E-2</v>
      </c>
      <c r="BC366" s="179">
        <f t="shared" si="419"/>
        <v>3.5229370967005291E-2</v>
      </c>
      <c r="BD366" s="179">
        <f t="shared" si="420"/>
        <v>3.6899460894501877E-2</v>
      </c>
      <c r="BE366" s="179">
        <f t="shared" si="421"/>
        <v>3.6788027964584642E-2</v>
      </c>
      <c r="BF366" s="179">
        <f t="shared" si="422"/>
        <v>3.1099634157223166E-2</v>
      </c>
      <c r="BG366" s="179">
        <f t="shared" si="423"/>
        <v>2.6531460276236575E-2</v>
      </c>
      <c r="BH366" s="179">
        <f t="shared" si="424"/>
        <v>3.1575418397626114E-2</v>
      </c>
    </row>
    <row r="367" spans="2:68" s="108" customFormat="1" x14ac:dyDescent="0.25">
      <c r="B367" s="107"/>
      <c r="E367" s="109" t="s">
        <v>1</v>
      </c>
      <c r="F367" s="110" t="s">
        <v>65</v>
      </c>
      <c r="G367" s="111" t="s">
        <v>130</v>
      </c>
      <c r="H367" s="70">
        <v>22807</v>
      </c>
      <c r="I367" s="70">
        <v>27131</v>
      </c>
      <c r="J367" s="70">
        <v>21842</v>
      </c>
      <c r="K367" s="70">
        <v>20930</v>
      </c>
      <c r="L367" s="70">
        <v>28065</v>
      </c>
      <c r="M367" s="70">
        <v>20188</v>
      </c>
      <c r="N367" s="70">
        <v>26226</v>
      </c>
      <c r="O367" s="112">
        <v>22266</v>
      </c>
      <c r="P367" s="112">
        <v>21410</v>
      </c>
      <c r="R367" s="111" t="s">
        <v>130</v>
      </c>
      <c r="S367" s="220">
        <v>10.1</v>
      </c>
      <c r="T367" s="220">
        <v>11.4</v>
      </c>
      <c r="U367" s="220">
        <v>11.9</v>
      </c>
      <c r="V367" s="220">
        <v>12.5</v>
      </c>
      <c r="W367" s="220">
        <v>12.7</v>
      </c>
      <c r="X367" s="220">
        <v>14.9</v>
      </c>
      <c r="Y367" s="220">
        <v>12.2</v>
      </c>
      <c r="Z367" s="220">
        <v>12.9</v>
      </c>
      <c r="AA367" s="220">
        <v>13.4</v>
      </c>
      <c r="AC367" s="111" t="s">
        <v>130</v>
      </c>
      <c r="AD367" s="70">
        <f t="shared" si="428"/>
        <v>4607.0139999999992</v>
      </c>
      <c r="AE367" s="70">
        <f t="shared" si="409"/>
        <v>6185.8680000000004</v>
      </c>
      <c r="AF367" s="70">
        <f t="shared" si="410"/>
        <v>5198.3960000000006</v>
      </c>
      <c r="AG367" s="70">
        <f t="shared" si="411"/>
        <v>5232.5</v>
      </c>
      <c r="AH367" s="70">
        <f t="shared" si="412"/>
        <v>7128.51</v>
      </c>
      <c r="AI367" s="70">
        <f t="shared" si="413"/>
        <v>6016.0240000000003</v>
      </c>
      <c r="AJ367" s="70">
        <f t="shared" si="414"/>
        <v>6399.1439999999993</v>
      </c>
      <c r="AK367" s="70">
        <f t="shared" si="425"/>
        <v>5744.6280000000006</v>
      </c>
      <c r="AL367" s="70">
        <f t="shared" si="426"/>
        <v>5737.88</v>
      </c>
      <c r="AN367" s="111" t="s">
        <v>130</v>
      </c>
      <c r="AO367" s="113">
        <f t="shared" ref="AO367:AW367" si="435">H367/H364</f>
        <v>0.15606801929722516</v>
      </c>
      <c r="AP367" s="113">
        <f t="shared" si="435"/>
        <v>0.18584276897574475</v>
      </c>
      <c r="AQ367" s="113">
        <f t="shared" si="435"/>
        <v>0.1443002014996862</v>
      </c>
      <c r="AR367" s="113">
        <f t="shared" si="435"/>
        <v>0.13655907664402644</v>
      </c>
      <c r="AS367" s="113">
        <f t="shared" si="435"/>
        <v>0.17572585139221961</v>
      </c>
      <c r="AT367" s="113">
        <f t="shared" si="435"/>
        <v>0.12209105423581208</v>
      </c>
      <c r="AU367" s="113">
        <f t="shared" si="435"/>
        <v>0.15600963683412153</v>
      </c>
      <c r="AV367" s="113">
        <f t="shared" si="435"/>
        <v>0.13142486129146499</v>
      </c>
      <c r="AW367" s="113">
        <f t="shared" si="435"/>
        <v>0.12706231454005934</v>
      </c>
      <c r="AY367" s="111" t="s">
        <v>130</v>
      </c>
      <c r="AZ367" s="179">
        <f t="shared" si="416"/>
        <v>3.152573989803948E-2</v>
      </c>
      <c r="BA367" s="179">
        <f t="shared" si="417"/>
        <v>4.2372151326469806E-2</v>
      </c>
      <c r="BB367" s="179">
        <f t="shared" si="418"/>
        <v>3.4343447956925316E-2</v>
      </c>
      <c r="BC367" s="179">
        <f t="shared" si="419"/>
        <v>3.4139769161006611E-2</v>
      </c>
      <c r="BD367" s="179">
        <f t="shared" si="420"/>
        <v>4.4634366253623776E-2</v>
      </c>
      <c r="BE367" s="179">
        <f t="shared" si="421"/>
        <v>3.6383134162271999E-2</v>
      </c>
      <c r="BF367" s="179">
        <f t="shared" si="422"/>
        <v>3.8066351387525649E-2</v>
      </c>
      <c r="BG367" s="179">
        <f t="shared" si="423"/>
        <v>3.3907614213197969E-2</v>
      </c>
      <c r="BH367" s="179">
        <f t="shared" si="424"/>
        <v>3.4052700296735905E-2</v>
      </c>
    </row>
    <row r="368" spans="2:68" s="108" customFormat="1" x14ac:dyDescent="0.25">
      <c r="B368" s="107"/>
      <c r="E368" s="109" t="s">
        <v>1</v>
      </c>
      <c r="F368" s="110" t="s">
        <v>65</v>
      </c>
      <c r="G368" s="111" t="s">
        <v>131</v>
      </c>
      <c r="H368" s="112">
        <v>54330</v>
      </c>
      <c r="I368" s="112">
        <v>49995</v>
      </c>
      <c r="J368" s="112">
        <v>66863</v>
      </c>
      <c r="K368" s="112">
        <v>61289</v>
      </c>
      <c r="L368" s="112">
        <v>73463</v>
      </c>
      <c r="M368" s="112">
        <v>78919</v>
      </c>
      <c r="N368" s="112">
        <v>79899</v>
      </c>
      <c r="O368" s="112">
        <v>96336</v>
      </c>
      <c r="P368" s="112">
        <v>95812</v>
      </c>
      <c r="R368" s="111" t="s">
        <v>131</v>
      </c>
      <c r="S368" s="220">
        <v>6</v>
      </c>
      <c r="T368" s="220">
        <v>7.3</v>
      </c>
      <c r="U368" s="220">
        <v>6.2</v>
      </c>
      <c r="V368" s="220">
        <v>6.1</v>
      </c>
      <c r="W368" s="220">
        <v>6.4</v>
      </c>
      <c r="X368" s="220">
        <v>6.3</v>
      </c>
      <c r="Y368" s="220">
        <v>5.9</v>
      </c>
      <c r="Z368" s="220">
        <v>4.5</v>
      </c>
      <c r="AA368" s="220">
        <v>4.9000000000000004</v>
      </c>
      <c r="AC368" s="111" t="s">
        <v>131</v>
      </c>
      <c r="AD368" s="112">
        <f t="shared" si="428"/>
        <v>6519.6</v>
      </c>
      <c r="AE368" s="112">
        <f t="shared" si="409"/>
        <v>7299.27</v>
      </c>
      <c r="AF368" s="112">
        <f t="shared" si="410"/>
        <v>8291.0120000000006</v>
      </c>
      <c r="AG368" s="112">
        <f t="shared" si="411"/>
        <v>7477.2579999999989</v>
      </c>
      <c r="AH368" s="112">
        <f t="shared" si="412"/>
        <v>9403.264000000001</v>
      </c>
      <c r="AI368" s="112">
        <f t="shared" si="413"/>
        <v>9943.7939999999999</v>
      </c>
      <c r="AJ368" s="112">
        <f t="shared" si="414"/>
        <v>9428.0820000000003</v>
      </c>
      <c r="AK368" s="112">
        <f t="shared" si="425"/>
        <v>8670.24</v>
      </c>
      <c r="AL368" s="112">
        <f t="shared" si="426"/>
        <v>9389.5760000000009</v>
      </c>
      <c r="AN368" s="111" t="s">
        <v>131</v>
      </c>
      <c r="AO368" s="113">
        <f t="shared" ref="AO368:AW368" si="436">H368/H364</f>
        <v>0.37177951893796829</v>
      </c>
      <c r="AP368" s="113">
        <f t="shared" si="436"/>
        <v>0.34245730842734728</v>
      </c>
      <c r="AQ368" s="113">
        <f t="shared" si="436"/>
        <v>0.44173355795593433</v>
      </c>
      <c r="AR368" s="113">
        <f t="shared" si="436"/>
        <v>0.39988386280151633</v>
      </c>
      <c r="AS368" s="113">
        <f t="shared" si="436"/>
        <v>0.45998033924199638</v>
      </c>
      <c r="AT368" s="113">
        <f t="shared" si="436"/>
        <v>0.4772787749770187</v>
      </c>
      <c r="AU368" s="113">
        <f t="shared" si="436"/>
        <v>0.47529222807174087</v>
      </c>
      <c r="AV368" s="113">
        <f t="shared" si="436"/>
        <v>0.56862235863534416</v>
      </c>
      <c r="AW368" s="113">
        <f t="shared" si="436"/>
        <v>0.5686172106824926</v>
      </c>
      <c r="AY368" s="111" t="s">
        <v>131</v>
      </c>
      <c r="AZ368" s="179">
        <f t="shared" si="416"/>
        <v>4.4613542272556199E-2</v>
      </c>
      <c r="BA368" s="179">
        <f t="shared" si="417"/>
        <v>4.9998767030392702E-2</v>
      </c>
      <c r="BB368" s="179">
        <f t="shared" si="418"/>
        <v>5.477496118653586E-2</v>
      </c>
      <c r="BC368" s="179">
        <f t="shared" si="419"/>
        <v>4.8785831261784984E-2</v>
      </c>
      <c r="BD368" s="179">
        <f t="shared" si="420"/>
        <v>5.8877483422975538E-2</v>
      </c>
      <c r="BE368" s="179">
        <f t="shared" si="421"/>
        <v>6.0137125647104356E-2</v>
      </c>
      <c r="BF368" s="179">
        <f t="shared" si="422"/>
        <v>5.6084482912465428E-2</v>
      </c>
      <c r="BG368" s="179">
        <f t="shared" si="423"/>
        <v>5.1176012277180973E-2</v>
      </c>
      <c r="BH368" s="179">
        <f t="shared" si="424"/>
        <v>5.5724486646884272E-2</v>
      </c>
    </row>
    <row r="369" spans="2:68" s="87" customFormat="1" x14ac:dyDescent="0.25">
      <c r="B369" s="84"/>
      <c r="C369" s="85"/>
      <c r="D369" s="85"/>
      <c r="E369" s="109" t="s">
        <v>2</v>
      </c>
      <c r="F369" s="110" t="s">
        <v>65</v>
      </c>
      <c r="G369" s="195" t="s">
        <v>7</v>
      </c>
      <c r="H369" s="69">
        <v>244738</v>
      </c>
      <c r="I369" s="69">
        <v>237308</v>
      </c>
      <c r="J369" s="69">
        <v>232846</v>
      </c>
      <c r="K369" s="69">
        <v>225167</v>
      </c>
      <c r="L369" s="69">
        <v>223421</v>
      </c>
      <c r="M369" s="69">
        <v>225433</v>
      </c>
      <c r="N369" s="69">
        <v>233235</v>
      </c>
      <c r="O369" s="69">
        <v>237173</v>
      </c>
      <c r="P369" s="69">
        <v>256258</v>
      </c>
      <c r="R369" s="195" t="s">
        <v>7</v>
      </c>
      <c r="S369" s="226">
        <v>1.3</v>
      </c>
      <c r="T369" s="226">
        <v>1.2</v>
      </c>
      <c r="U369" s="226">
        <v>1.3</v>
      </c>
      <c r="V369" s="226">
        <v>1.2</v>
      </c>
      <c r="W369" s="226">
        <v>1.4</v>
      </c>
      <c r="X369" s="226">
        <v>1.6</v>
      </c>
      <c r="Y369" s="226">
        <v>1.3</v>
      </c>
      <c r="Z369" s="226">
        <v>1.4</v>
      </c>
      <c r="AA369" s="226">
        <v>1.2</v>
      </c>
      <c r="AC369" s="195" t="s">
        <v>7</v>
      </c>
      <c r="AD369" s="69">
        <f t="shared" si="428"/>
        <v>6363.1880000000001</v>
      </c>
      <c r="AE369" s="69">
        <f t="shared" si="409"/>
        <v>5695.3919999999998</v>
      </c>
      <c r="AF369" s="69">
        <f t="shared" si="410"/>
        <v>6053.9960000000001</v>
      </c>
      <c r="AG369" s="69">
        <f t="shared" si="411"/>
        <v>5404.0079999999989</v>
      </c>
      <c r="AH369" s="69">
        <f t="shared" si="412"/>
        <v>6255.7879999999996</v>
      </c>
      <c r="AI369" s="69">
        <f t="shared" si="413"/>
        <v>7213.8560000000007</v>
      </c>
      <c r="AJ369" s="69">
        <f t="shared" si="414"/>
        <v>6064.11</v>
      </c>
      <c r="AK369" s="69">
        <f t="shared" si="425"/>
        <v>6640.8439999999991</v>
      </c>
      <c r="AL369" s="69">
        <f t="shared" si="426"/>
        <v>6150.1919999999991</v>
      </c>
      <c r="AN369" s="195" t="s">
        <v>7</v>
      </c>
      <c r="AO369" s="98">
        <f t="shared" ref="AO369:AW369" si="437">H369/H369</f>
        <v>1</v>
      </c>
      <c r="AP369" s="98">
        <f t="shared" si="437"/>
        <v>1</v>
      </c>
      <c r="AQ369" s="98">
        <f t="shared" si="437"/>
        <v>1</v>
      </c>
      <c r="AR369" s="98">
        <f t="shared" si="437"/>
        <v>1</v>
      </c>
      <c r="AS369" s="98">
        <f t="shared" si="437"/>
        <v>1</v>
      </c>
      <c r="AT369" s="98">
        <f t="shared" si="437"/>
        <v>1</v>
      </c>
      <c r="AU369" s="98">
        <f t="shared" si="437"/>
        <v>1</v>
      </c>
      <c r="AV369" s="98">
        <f t="shared" si="437"/>
        <v>1</v>
      </c>
      <c r="AW369" s="98">
        <f t="shared" si="437"/>
        <v>1</v>
      </c>
      <c r="AX369" s="191"/>
      <c r="AY369" s="195" t="s">
        <v>7</v>
      </c>
      <c r="AZ369" s="178">
        <f t="shared" si="416"/>
        <v>2.6000000000000002E-2</v>
      </c>
      <c r="BA369" s="178">
        <f t="shared" si="417"/>
        <v>2.4E-2</v>
      </c>
      <c r="BB369" s="178">
        <f t="shared" si="418"/>
        <v>2.6000000000000002E-2</v>
      </c>
      <c r="BC369" s="178">
        <f t="shared" si="419"/>
        <v>2.4E-2</v>
      </c>
      <c r="BD369" s="178">
        <f t="shared" si="420"/>
        <v>2.7999999999999997E-2</v>
      </c>
      <c r="BE369" s="178">
        <f t="shared" si="421"/>
        <v>3.2000000000000001E-2</v>
      </c>
      <c r="BF369" s="178">
        <f t="shared" si="422"/>
        <v>2.6000000000000002E-2</v>
      </c>
      <c r="BG369" s="178">
        <f t="shared" si="423"/>
        <v>2.7999999999999997E-2</v>
      </c>
      <c r="BH369" s="178">
        <f t="shared" si="424"/>
        <v>2.4E-2</v>
      </c>
      <c r="BI369" s="191"/>
      <c r="BJ369" s="191"/>
      <c r="BK369" s="191"/>
      <c r="BL369" s="191"/>
      <c r="BM369" s="191"/>
      <c r="BN369" s="191"/>
      <c r="BO369" s="191"/>
      <c r="BP369" s="191"/>
    </row>
    <row r="370" spans="2:68" s="108" customFormat="1" x14ac:dyDescent="0.25">
      <c r="B370" s="107"/>
      <c r="E370" s="109" t="s">
        <v>2</v>
      </c>
      <c r="F370" s="110" t="s">
        <v>65</v>
      </c>
      <c r="G370" s="111" t="s">
        <v>54</v>
      </c>
      <c r="H370" s="112">
        <v>77176</v>
      </c>
      <c r="I370" s="112">
        <v>69641</v>
      </c>
      <c r="J370" s="112">
        <v>64169</v>
      </c>
      <c r="K370" s="112">
        <v>69074</v>
      </c>
      <c r="L370" s="112">
        <v>58688</v>
      </c>
      <c r="M370" s="112">
        <v>54684</v>
      </c>
      <c r="N370" s="112">
        <v>48559</v>
      </c>
      <c r="O370" s="112">
        <v>44188</v>
      </c>
      <c r="P370" s="112">
        <v>58803</v>
      </c>
      <c r="R370" s="111" t="s">
        <v>54</v>
      </c>
      <c r="S370" s="220">
        <v>4.9000000000000004</v>
      </c>
      <c r="T370" s="220">
        <v>6.6</v>
      </c>
      <c r="U370" s="220">
        <v>6.2</v>
      </c>
      <c r="V370" s="220">
        <v>5.9</v>
      </c>
      <c r="W370" s="220">
        <v>8.4</v>
      </c>
      <c r="X370" s="220">
        <v>8.9</v>
      </c>
      <c r="Y370" s="220">
        <v>8.8000000000000007</v>
      </c>
      <c r="Z370" s="220">
        <v>9.6</v>
      </c>
      <c r="AA370" s="220">
        <v>8.1</v>
      </c>
      <c r="AC370" s="111" t="s">
        <v>54</v>
      </c>
      <c r="AD370" s="112">
        <f t="shared" si="428"/>
        <v>7563.2480000000005</v>
      </c>
      <c r="AE370" s="112">
        <f t="shared" si="409"/>
        <v>9192.6119999999992</v>
      </c>
      <c r="AF370" s="112">
        <f t="shared" si="410"/>
        <v>7956.9560000000001</v>
      </c>
      <c r="AG370" s="112">
        <f t="shared" si="411"/>
        <v>8150.7320000000009</v>
      </c>
      <c r="AH370" s="112">
        <f t="shared" si="412"/>
        <v>9859.5840000000007</v>
      </c>
      <c r="AI370" s="112">
        <f t="shared" si="413"/>
        <v>9733.7520000000004</v>
      </c>
      <c r="AJ370" s="112">
        <f t="shared" si="414"/>
        <v>8546.384</v>
      </c>
      <c r="AK370" s="112">
        <f t="shared" si="425"/>
        <v>8484.0959999999995</v>
      </c>
      <c r="AL370" s="112">
        <f t="shared" si="426"/>
        <v>9526.0859999999993</v>
      </c>
      <c r="AN370" s="111" t="s">
        <v>54</v>
      </c>
      <c r="AO370" s="113">
        <f t="shared" ref="AO370:AW370" si="438">H370/H369</f>
        <v>0.3153413037615736</v>
      </c>
      <c r="AP370" s="113">
        <f t="shared" si="438"/>
        <v>0.29346250442462962</v>
      </c>
      <c r="AQ370" s="113">
        <f t="shared" si="438"/>
        <v>0.27558558016886697</v>
      </c>
      <c r="AR370" s="113">
        <f t="shared" si="438"/>
        <v>0.30676786562862229</v>
      </c>
      <c r="AS370" s="113">
        <f t="shared" si="438"/>
        <v>0.26267897825182057</v>
      </c>
      <c r="AT370" s="113">
        <f t="shared" si="438"/>
        <v>0.24257318138870529</v>
      </c>
      <c r="AU370" s="113">
        <f t="shared" si="438"/>
        <v>0.2081977404763436</v>
      </c>
      <c r="AV370" s="113">
        <f t="shared" si="438"/>
        <v>0.18631125802684118</v>
      </c>
      <c r="AW370" s="113">
        <f t="shared" si="438"/>
        <v>0.22946795807350404</v>
      </c>
      <c r="AY370" s="111" t="s">
        <v>54</v>
      </c>
      <c r="AZ370" s="179">
        <f t="shared" si="416"/>
        <v>3.0903447768634216E-2</v>
      </c>
      <c r="BA370" s="179">
        <f t="shared" si="417"/>
        <v>3.8737050584051108E-2</v>
      </c>
      <c r="BB370" s="179">
        <f t="shared" si="418"/>
        <v>3.4172611940939505E-2</v>
      </c>
      <c r="BC370" s="179">
        <f t="shared" si="419"/>
        <v>3.6198608144177434E-2</v>
      </c>
      <c r="BD370" s="179">
        <f t="shared" si="420"/>
        <v>4.413006834630586E-2</v>
      </c>
      <c r="BE370" s="179">
        <f t="shared" si="421"/>
        <v>4.3178026287189544E-2</v>
      </c>
      <c r="BF370" s="179">
        <f t="shared" si="422"/>
        <v>3.6642802323836474E-2</v>
      </c>
      <c r="BG370" s="179">
        <f t="shared" si="423"/>
        <v>3.5771761541153503E-2</v>
      </c>
      <c r="BH370" s="179">
        <f t="shared" si="424"/>
        <v>3.7173809207907652E-2</v>
      </c>
    </row>
    <row r="371" spans="2:68" s="108" customFormat="1" x14ac:dyDescent="0.25">
      <c r="B371" s="107"/>
      <c r="E371" s="109" t="s">
        <v>2</v>
      </c>
      <c r="F371" s="110" t="s">
        <v>65</v>
      </c>
      <c r="G371" s="111" t="s">
        <v>55</v>
      </c>
      <c r="H371" s="70">
        <v>57373</v>
      </c>
      <c r="I371" s="70">
        <v>57904</v>
      </c>
      <c r="J371" s="70">
        <v>53230</v>
      </c>
      <c r="K371" s="70">
        <v>47032</v>
      </c>
      <c r="L371" s="70">
        <v>42205</v>
      </c>
      <c r="M371" s="70">
        <v>44602</v>
      </c>
      <c r="N371" s="70">
        <v>53806</v>
      </c>
      <c r="O371" s="112">
        <v>60773</v>
      </c>
      <c r="P371" s="112">
        <v>39851</v>
      </c>
      <c r="R371" s="111" t="s">
        <v>55</v>
      </c>
      <c r="S371" s="81">
        <v>6.5</v>
      </c>
      <c r="T371" s="81">
        <v>7.4</v>
      </c>
      <c r="U371" s="81">
        <v>7.2</v>
      </c>
      <c r="V371" s="81">
        <v>7.9</v>
      </c>
      <c r="W371" s="81">
        <v>10</v>
      </c>
      <c r="X371" s="81">
        <v>10</v>
      </c>
      <c r="Y371" s="81">
        <v>8.4</v>
      </c>
      <c r="Z371" s="81">
        <v>7.1</v>
      </c>
      <c r="AA371" s="81">
        <v>10.4</v>
      </c>
      <c r="AC371" s="111" t="s">
        <v>55</v>
      </c>
      <c r="AD371" s="70">
        <f t="shared" si="428"/>
        <v>7458.49</v>
      </c>
      <c r="AE371" s="70">
        <f t="shared" si="409"/>
        <v>8569.7920000000013</v>
      </c>
      <c r="AF371" s="70">
        <f t="shared" si="410"/>
        <v>7665.12</v>
      </c>
      <c r="AG371" s="70">
        <f t="shared" si="411"/>
        <v>7431.0559999999996</v>
      </c>
      <c r="AH371" s="70">
        <f t="shared" si="412"/>
        <v>8441</v>
      </c>
      <c r="AI371" s="70">
        <f t="shared" si="413"/>
        <v>8920.4</v>
      </c>
      <c r="AJ371" s="70">
        <f t="shared" si="414"/>
        <v>9039.4080000000013</v>
      </c>
      <c r="AK371" s="70">
        <f t="shared" si="425"/>
        <v>8629.7659999999996</v>
      </c>
      <c r="AL371" s="70">
        <f t="shared" si="426"/>
        <v>8289.0079999999998</v>
      </c>
      <c r="AN371" s="111" t="s">
        <v>55</v>
      </c>
      <c r="AO371" s="113">
        <f t="shared" ref="AO371:AW371" si="439">H371/H369</f>
        <v>0.23442620271473985</v>
      </c>
      <c r="AP371" s="113">
        <f t="shared" si="439"/>
        <v>0.24400357341513981</v>
      </c>
      <c r="AQ371" s="113">
        <f t="shared" si="439"/>
        <v>0.22860603145426592</v>
      </c>
      <c r="AR371" s="113">
        <f t="shared" si="439"/>
        <v>0.20887607864385102</v>
      </c>
      <c r="AS371" s="113">
        <f t="shared" si="439"/>
        <v>0.18890346028350066</v>
      </c>
      <c r="AT371" s="113">
        <f t="shared" si="439"/>
        <v>0.19785035908673532</v>
      </c>
      <c r="AU371" s="113">
        <f t="shared" si="439"/>
        <v>0.2306943640534225</v>
      </c>
      <c r="AV371" s="113">
        <f t="shared" si="439"/>
        <v>0.25623911659421605</v>
      </c>
      <c r="AW371" s="113">
        <f t="shared" si="439"/>
        <v>0.15551124257584154</v>
      </c>
      <c r="AY371" s="111" t="s">
        <v>55</v>
      </c>
      <c r="AZ371" s="179">
        <f t="shared" si="416"/>
        <v>3.0475406352916182E-2</v>
      </c>
      <c r="BA371" s="179">
        <f t="shared" si="417"/>
        <v>3.6112528865440696E-2</v>
      </c>
      <c r="BB371" s="179">
        <f t="shared" si="418"/>
        <v>3.2919268529414292E-2</v>
      </c>
      <c r="BC371" s="179">
        <f t="shared" si="419"/>
        <v>3.3002420425728464E-2</v>
      </c>
      <c r="BD371" s="179">
        <f t="shared" si="420"/>
        <v>3.7780692056700135E-2</v>
      </c>
      <c r="BE371" s="179">
        <f t="shared" si="421"/>
        <v>3.9570071817347063E-2</v>
      </c>
      <c r="BF371" s="179">
        <f t="shared" si="422"/>
        <v>3.8756653160974978E-2</v>
      </c>
      <c r="BG371" s="179">
        <f t="shared" si="423"/>
        <v>3.6385954556378677E-2</v>
      </c>
      <c r="BH371" s="179">
        <f t="shared" si="424"/>
        <v>3.2346338455775038E-2</v>
      </c>
    </row>
    <row r="372" spans="2:68" s="108" customFormat="1" x14ac:dyDescent="0.25">
      <c r="B372" s="107"/>
      <c r="E372" s="109" t="s">
        <v>2</v>
      </c>
      <c r="F372" s="110" t="s">
        <v>65</v>
      </c>
      <c r="G372" s="111" t="s">
        <v>130</v>
      </c>
      <c r="H372" s="70">
        <v>35012</v>
      </c>
      <c r="I372" s="70">
        <v>32407</v>
      </c>
      <c r="J372" s="70">
        <v>32522</v>
      </c>
      <c r="K372" s="70">
        <v>32403</v>
      </c>
      <c r="L372" s="70">
        <v>41013</v>
      </c>
      <c r="M372" s="70">
        <v>35460</v>
      </c>
      <c r="N372" s="70">
        <v>32659</v>
      </c>
      <c r="O372" s="112">
        <v>30312</v>
      </c>
      <c r="P372" s="112">
        <v>33599</v>
      </c>
      <c r="R372" s="111" t="s">
        <v>130</v>
      </c>
      <c r="S372" s="220">
        <v>8.1999999999999993</v>
      </c>
      <c r="T372" s="220">
        <v>10.7</v>
      </c>
      <c r="U372" s="220">
        <v>9.9</v>
      </c>
      <c r="V372" s="220">
        <v>9.9</v>
      </c>
      <c r="W372" s="220">
        <v>10</v>
      </c>
      <c r="X372" s="220">
        <v>11</v>
      </c>
      <c r="Y372" s="220">
        <v>10.6</v>
      </c>
      <c r="Z372" s="220">
        <v>11.1</v>
      </c>
      <c r="AA372" s="220">
        <v>11.6</v>
      </c>
      <c r="AC372" s="111" t="s">
        <v>130</v>
      </c>
      <c r="AD372" s="70">
        <f t="shared" si="428"/>
        <v>5741.9679999999989</v>
      </c>
      <c r="AE372" s="70">
        <f t="shared" si="409"/>
        <v>6935.097999999999</v>
      </c>
      <c r="AF372" s="70">
        <f t="shared" si="410"/>
        <v>6439.3559999999998</v>
      </c>
      <c r="AG372" s="70">
        <f t="shared" si="411"/>
        <v>6415.7939999999999</v>
      </c>
      <c r="AH372" s="70">
        <f t="shared" si="412"/>
        <v>8202.6</v>
      </c>
      <c r="AI372" s="70">
        <f t="shared" si="413"/>
        <v>7801.2</v>
      </c>
      <c r="AJ372" s="70">
        <f t="shared" si="414"/>
        <v>6923.7079999999996</v>
      </c>
      <c r="AK372" s="70">
        <f t="shared" si="425"/>
        <v>6729.2640000000001</v>
      </c>
      <c r="AL372" s="70">
        <f t="shared" si="426"/>
        <v>7794.9679999999989</v>
      </c>
      <c r="AN372" s="111" t="s">
        <v>130</v>
      </c>
      <c r="AO372" s="113">
        <f t="shared" ref="AO372:AW372" si="440">H372/H369</f>
        <v>0.14305910810744552</v>
      </c>
      <c r="AP372" s="113">
        <f t="shared" si="440"/>
        <v>0.13656092504256073</v>
      </c>
      <c r="AQ372" s="113">
        <f t="shared" si="440"/>
        <v>0.13967171435197512</v>
      </c>
      <c r="AR372" s="113">
        <f t="shared" si="440"/>
        <v>0.14390652271425208</v>
      </c>
      <c r="AS372" s="113">
        <f t="shared" si="440"/>
        <v>0.18356824112326056</v>
      </c>
      <c r="AT372" s="113">
        <f t="shared" si="440"/>
        <v>0.15729729010393331</v>
      </c>
      <c r="AU372" s="113">
        <f t="shared" si="440"/>
        <v>0.14002615387913478</v>
      </c>
      <c r="AV372" s="113">
        <f t="shared" si="440"/>
        <v>0.12780544159748369</v>
      </c>
      <c r="AW372" s="113">
        <f t="shared" si="440"/>
        <v>0.13111395546675617</v>
      </c>
      <c r="AY372" s="111" t="s">
        <v>130</v>
      </c>
      <c r="AZ372" s="179">
        <f t="shared" si="416"/>
        <v>2.3461693729621064E-2</v>
      </c>
      <c r="BA372" s="179">
        <f t="shared" si="417"/>
        <v>2.9224037959107996E-2</v>
      </c>
      <c r="BB372" s="179">
        <f t="shared" si="418"/>
        <v>2.7654999441691076E-2</v>
      </c>
      <c r="BC372" s="179">
        <f t="shared" si="419"/>
        <v>2.8493491497421912E-2</v>
      </c>
      <c r="BD372" s="179">
        <f t="shared" si="420"/>
        <v>3.6713648224652111E-2</v>
      </c>
      <c r="BE372" s="179">
        <f t="shared" si="421"/>
        <v>3.4605403822865331E-2</v>
      </c>
      <c r="BF372" s="179">
        <f t="shared" si="422"/>
        <v>2.9685544622376572E-2</v>
      </c>
      <c r="BG372" s="179">
        <f t="shared" si="423"/>
        <v>2.8372808034641376E-2</v>
      </c>
      <c r="BH372" s="179">
        <f t="shared" si="424"/>
        <v>3.0418437668287428E-2</v>
      </c>
    </row>
    <row r="373" spans="2:68" s="108" customFormat="1" x14ac:dyDescent="0.25">
      <c r="B373" s="107"/>
      <c r="E373" s="109" t="s">
        <v>2</v>
      </c>
      <c r="F373" s="110" t="s">
        <v>65</v>
      </c>
      <c r="G373" s="111" t="s">
        <v>131</v>
      </c>
      <c r="H373" s="112">
        <v>75176</v>
      </c>
      <c r="I373" s="112">
        <v>77357</v>
      </c>
      <c r="J373" s="112">
        <v>82925</v>
      </c>
      <c r="K373" s="112">
        <v>76514</v>
      </c>
      <c r="L373" s="112">
        <v>81514</v>
      </c>
      <c r="M373" s="112">
        <v>90687</v>
      </c>
      <c r="N373" s="112">
        <v>98211</v>
      </c>
      <c r="O373" s="112">
        <v>101900</v>
      </c>
      <c r="P373" s="112">
        <v>124005</v>
      </c>
      <c r="R373" s="111" t="s">
        <v>131</v>
      </c>
      <c r="S373" s="220">
        <v>4.9000000000000004</v>
      </c>
      <c r="T373" s="220">
        <v>5.9</v>
      </c>
      <c r="U373" s="220">
        <v>5.4</v>
      </c>
      <c r="V373" s="220">
        <v>5.7</v>
      </c>
      <c r="W373" s="220">
        <v>6</v>
      </c>
      <c r="X373" s="220">
        <v>5.6</v>
      </c>
      <c r="Y373" s="220">
        <v>5.0999999999999996</v>
      </c>
      <c r="Z373" s="220">
        <v>4</v>
      </c>
      <c r="AA373" s="220">
        <v>5.2</v>
      </c>
      <c r="AC373" s="111" t="s">
        <v>131</v>
      </c>
      <c r="AD373" s="112">
        <f t="shared" si="428"/>
        <v>7367.2480000000005</v>
      </c>
      <c r="AE373" s="112">
        <f t="shared" si="409"/>
        <v>9128.1260000000002</v>
      </c>
      <c r="AF373" s="112">
        <f t="shared" si="410"/>
        <v>8955.9000000000015</v>
      </c>
      <c r="AG373" s="112">
        <f t="shared" si="411"/>
        <v>8722.5959999999995</v>
      </c>
      <c r="AH373" s="112">
        <f t="shared" si="412"/>
        <v>9781.68</v>
      </c>
      <c r="AI373" s="112">
        <f t="shared" si="413"/>
        <v>10156.944</v>
      </c>
      <c r="AJ373" s="112">
        <f t="shared" si="414"/>
        <v>10017.521999999999</v>
      </c>
      <c r="AK373" s="112">
        <f t="shared" si="425"/>
        <v>8152</v>
      </c>
      <c r="AL373" s="112">
        <f t="shared" si="426"/>
        <v>12896.52</v>
      </c>
      <c r="AN373" s="111" t="s">
        <v>131</v>
      </c>
      <c r="AO373" s="113">
        <f t="shared" ref="AO373:AW373" si="441">H373/H369</f>
        <v>0.30716929941406729</v>
      </c>
      <c r="AP373" s="113">
        <f t="shared" si="441"/>
        <v>0.32597721105061778</v>
      </c>
      <c r="AQ373" s="113">
        <f t="shared" si="441"/>
        <v>0.35613667402489196</v>
      </c>
      <c r="AR373" s="113">
        <f t="shared" si="441"/>
        <v>0.33981000768318625</v>
      </c>
      <c r="AS373" s="113">
        <f t="shared" si="441"/>
        <v>0.36484484448641802</v>
      </c>
      <c r="AT373" s="113">
        <f t="shared" si="441"/>
        <v>0.40227916942062608</v>
      </c>
      <c r="AU373" s="113">
        <f t="shared" si="441"/>
        <v>0.42108174159109912</v>
      </c>
      <c r="AV373" s="113">
        <f t="shared" si="441"/>
        <v>0.42964418378145908</v>
      </c>
      <c r="AW373" s="113">
        <f t="shared" si="441"/>
        <v>0.48390684388389826</v>
      </c>
      <c r="AY373" s="111" t="s">
        <v>131</v>
      </c>
      <c r="AZ373" s="179">
        <f t="shared" si="416"/>
        <v>3.0102591342578595E-2</v>
      </c>
      <c r="BA373" s="179">
        <f t="shared" si="417"/>
        <v>3.8465310903972899E-2</v>
      </c>
      <c r="BB373" s="179">
        <f t="shared" si="418"/>
        <v>3.8462760794688335E-2</v>
      </c>
      <c r="BC373" s="179">
        <f t="shared" si="419"/>
        <v>3.873834087588323E-2</v>
      </c>
      <c r="BD373" s="179">
        <f t="shared" si="420"/>
        <v>4.3781381338370159E-2</v>
      </c>
      <c r="BE373" s="179">
        <f t="shared" si="421"/>
        <v>4.5055266975110121E-2</v>
      </c>
      <c r="BF373" s="179">
        <f t="shared" si="422"/>
        <v>4.2950337642292107E-2</v>
      </c>
      <c r="BG373" s="179">
        <f t="shared" si="423"/>
        <v>3.4371534702516728E-2</v>
      </c>
      <c r="BH373" s="179">
        <f t="shared" si="424"/>
        <v>5.0326311763925415E-2</v>
      </c>
    </row>
    <row r="374" spans="2:68" s="87" customFormat="1" x14ac:dyDescent="0.25">
      <c r="B374" s="84"/>
      <c r="C374" s="85"/>
      <c r="D374" s="85"/>
      <c r="E374" s="109" t="s">
        <v>3</v>
      </c>
      <c r="F374" s="110" t="s">
        <v>65</v>
      </c>
      <c r="G374" s="195" t="s">
        <v>7</v>
      </c>
      <c r="H374" s="69">
        <v>248530</v>
      </c>
      <c r="I374" s="69">
        <v>261235</v>
      </c>
      <c r="J374" s="69">
        <v>279779</v>
      </c>
      <c r="K374" s="69">
        <v>297024</v>
      </c>
      <c r="L374" s="69">
        <v>311261</v>
      </c>
      <c r="M374" s="69">
        <v>320345</v>
      </c>
      <c r="N374" s="69">
        <v>319384</v>
      </c>
      <c r="O374" s="69">
        <v>321546</v>
      </c>
      <c r="P374" s="69">
        <v>321612</v>
      </c>
      <c r="R374" s="195" t="s">
        <v>7</v>
      </c>
      <c r="S374" s="226">
        <v>1.3</v>
      </c>
      <c r="T374" s="226">
        <v>1.1000000000000001</v>
      </c>
      <c r="U374" s="226">
        <v>1.1000000000000001</v>
      </c>
      <c r="V374" s="226">
        <v>1.1000000000000001</v>
      </c>
      <c r="W374" s="226">
        <v>1.2</v>
      </c>
      <c r="X374" s="226">
        <v>1.2</v>
      </c>
      <c r="Y374" s="226">
        <v>1.1000000000000001</v>
      </c>
      <c r="Z374" s="226">
        <v>1.2</v>
      </c>
      <c r="AA374" s="226">
        <v>1.2</v>
      </c>
      <c r="AC374" s="195" t="s">
        <v>7</v>
      </c>
      <c r="AD374" s="69">
        <f t="shared" si="428"/>
        <v>6461.78</v>
      </c>
      <c r="AE374" s="69">
        <f t="shared" si="409"/>
        <v>5747.17</v>
      </c>
      <c r="AF374" s="69">
        <f t="shared" si="410"/>
        <v>6155.1380000000008</v>
      </c>
      <c r="AG374" s="69">
        <f t="shared" si="411"/>
        <v>6534.5280000000002</v>
      </c>
      <c r="AH374" s="69">
        <f t="shared" si="412"/>
        <v>7470.2640000000001</v>
      </c>
      <c r="AI374" s="69">
        <f t="shared" si="413"/>
        <v>7688.28</v>
      </c>
      <c r="AJ374" s="69">
        <f t="shared" si="414"/>
        <v>7026.4480000000003</v>
      </c>
      <c r="AK374" s="69">
        <f t="shared" si="425"/>
        <v>7717.1040000000003</v>
      </c>
      <c r="AL374" s="69">
        <f t="shared" si="426"/>
        <v>7718.6879999999992</v>
      </c>
      <c r="AN374" s="195" t="s">
        <v>7</v>
      </c>
      <c r="AO374" s="98">
        <f t="shared" ref="AO374:AW374" si="442">H374/H374</f>
        <v>1</v>
      </c>
      <c r="AP374" s="98">
        <f t="shared" si="442"/>
        <v>1</v>
      </c>
      <c r="AQ374" s="98">
        <f t="shared" si="442"/>
        <v>1</v>
      </c>
      <c r="AR374" s="98">
        <f t="shared" si="442"/>
        <v>1</v>
      </c>
      <c r="AS374" s="98">
        <f t="shared" si="442"/>
        <v>1</v>
      </c>
      <c r="AT374" s="98">
        <f t="shared" si="442"/>
        <v>1</v>
      </c>
      <c r="AU374" s="98">
        <f t="shared" si="442"/>
        <v>1</v>
      </c>
      <c r="AV374" s="98">
        <f t="shared" si="442"/>
        <v>1</v>
      </c>
      <c r="AW374" s="98">
        <f t="shared" si="442"/>
        <v>1</v>
      </c>
      <c r="AX374" s="191"/>
      <c r="AY374" s="195" t="s">
        <v>7</v>
      </c>
      <c r="AZ374" s="178">
        <f t="shared" si="416"/>
        <v>2.6000000000000002E-2</v>
      </c>
      <c r="BA374" s="178">
        <f t="shared" si="417"/>
        <v>2.2000000000000002E-2</v>
      </c>
      <c r="BB374" s="178">
        <f t="shared" si="418"/>
        <v>2.2000000000000002E-2</v>
      </c>
      <c r="BC374" s="178">
        <f t="shared" si="419"/>
        <v>2.2000000000000002E-2</v>
      </c>
      <c r="BD374" s="178">
        <f t="shared" si="420"/>
        <v>2.4E-2</v>
      </c>
      <c r="BE374" s="178">
        <f t="shared" si="421"/>
        <v>2.4E-2</v>
      </c>
      <c r="BF374" s="178">
        <f t="shared" si="422"/>
        <v>2.2000000000000002E-2</v>
      </c>
      <c r="BG374" s="178">
        <f t="shared" si="423"/>
        <v>2.4E-2</v>
      </c>
      <c r="BH374" s="178">
        <f t="shared" si="424"/>
        <v>2.4E-2</v>
      </c>
      <c r="BI374" s="191"/>
      <c r="BJ374" s="191"/>
      <c r="BK374" s="191"/>
      <c r="BL374" s="191"/>
      <c r="BM374" s="191"/>
      <c r="BN374" s="191"/>
      <c r="BO374" s="191"/>
      <c r="BP374" s="191"/>
    </row>
    <row r="375" spans="2:68" s="108" customFormat="1" x14ac:dyDescent="0.25">
      <c r="B375" s="107"/>
      <c r="E375" s="109" t="s">
        <v>3</v>
      </c>
      <c r="F375" s="110" t="s">
        <v>65</v>
      </c>
      <c r="G375" s="111" t="s">
        <v>54</v>
      </c>
      <c r="H375" s="112">
        <v>59527</v>
      </c>
      <c r="I375" s="112">
        <v>61207</v>
      </c>
      <c r="J375" s="112">
        <v>60064</v>
      </c>
      <c r="K375" s="112">
        <v>72095</v>
      </c>
      <c r="L375" s="112">
        <v>67644</v>
      </c>
      <c r="M375" s="112">
        <v>70924</v>
      </c>
      <c r="N375" s="112">
        <v>60726</v>
      </c>
      <c r="O375" s="112">
        <v>85033</v>
      </c>
      <c r="P375" s="112">
        <v>57304</v>
      </c>
      <c r="R375" s="111" t="s">
        <v>54</v>
      </c>
      <c r="S375" s="220">
        <v>6.2</v>
      </c>
      <c r="T375" s="220">
        <v>7.1</v>
      </c>
      <c r="U375" s="220">
        <v>6.6</v>
      </c>
      <c r="V375" s="220">
        <v>6.3</v>
      </c>
      <c r="W375" s="220">
        <v>7.6</v>
      </c>
      <c r="X375" s="220">
        <v>7</v>
      </c>
      <c r="Y375" s="220">
        <v>7.9</v>
      </c>
      <c r="Z375" s="220">
        <v>6</v>
      </c>
      <c r="AA375" s="220">
        <v>8.3000000000000007</v>
      </c>
      <c r="AC375" s="111" t="s">
        <v>54</v>
      </c>
      <c r="AD375" s="112">
        <f t="shared" si="428"/>
        <v>7381.3480000000009</v>
      </c>
      <c r="AE375" s="112">
        <f t="shared" si="409"/>
        <v>8691.3939999999984</v>
      </c>
      <c r="AF375" s="112">
        <f t="shared" si="410"/>
        <v>7928.4479999999994</v>
      </c>
      <c r="AG375" s="112">
        <f t="shared" si="411"/>
        <v>9083.9699999999993</v>
      </c>
      <c r="AH375" s="112">
        <f t="shared" si="412"/>
        <v>10281.887999999999</v>
      </c>
      <c r="AI375" s="112">
        <f t="shared" si="413"/>
        <v>9929.36</v>
      </c>
      <c r="AJ375" s="112">
        <f t="shared" si="414"/>
        <v>9594.7080000000005</v>
      </c>
      <c r="AK375" s="112">
        <f t="shared" si="425"/>
        <v>10203.959999999999</v>
      </c>
      <c r="AL375" s="112">
        <f t="shared" si="426"/>
        <v>9512.4639999999999</v>
      </c>
      <c r="AN375" s="111" t="s">
        <v>54</v>
      </c>
      <c r="AO375" s="113">
        <f t="shared" ref="AO375:AW375" si="443">H375/H374</f>
        <v>0.23951635617430492</v>
      </c>
      <c r="AP375" s="113">
        <f t="shared" si="443"/>
        <v>0.23429862001646026</v>
      </c>
      <c r="AQ375" s="113">
        <f t="shared" si="443"/>
        <v>0.21468373251745126</v>
      </c>
      <c r="AR375" s="113">
        <f t="shared" si="443"/>
        <v>0.24272449364361129</v>
      </c>
      <c r="AS375" s="113">
        <f t="shared" si="443"/>
        <v>0.21732244001015225</v>
      </c>
      <c r="AT375" s="113">
        <f t="shared" si="443"/>
        <v>0.22139880441399118</v>
      </c>
      <c r="AU375" s="113">
        <f t="shared" si="443"/>
        <v>0.19013475941186783</v>
      </c>
      <c r="AV375" s="113">
        <f t="shared" si="443"/>
        <v>0.26445049852898184</v>
      </c>
      <c r="AW375" s="113">
        <f t="shared" si="443"/>
        <v>0.17817743119037846</v>
      </c>
      <c r="AY375" s="111" t="s">
        <v>54</v>
      </c>
      <c r="AZ375" s="179">
        <f t="shared" si="416"/>
        <v>2.9700028165613811E-2</v>
      </c>
      <c r="BA375" s="179">
        <f t="shared" si="417"/>
        <v>3.3270404042337359E-2</v>
      </c>
      <c r="BB375" s="179">
        <f t="shared" si="418"/>
        <v>2.8338252692303566E-2</v>
      </c>
      <c r="BC375" s="179">
        <f t="shared" si="419"/>
        <v>3.0583286199095023E-2</v>
      </c>
      <c r="BD375" s="179">
        <f t="shared" si="420"/>
        <v>3.3033010881543139E-2</v>
      </c>
      <c r="BE375" s="179">
        <f t="shared" si="421"/>
        <v>3.0995832617958765E-2</v>
      </c>
      <c r="BF375" s="179">
        <f t="shared" si="422"/>
        <v>3.0041291987075121E-2</v>
      </c>
      <c r="BG375" s="179">
        <f t="shared" si="423"/>
        <v>3.1734059823477823E-2</v>
      </c>
      <c r="BH375" s="179">
        <f t="shared" si="424"/>
        <v>2.9577453577602827E-2</v>
      </c>
    </row>
    <row r="376" spans="2:68" s="108" customFormat="1" x14ac:dyDescent="0.25">
      <c r="B376" s="107"/>
      <c r="E376" s="109" t="s">
        <v>3</v>
      </c>
      <c r="F376" s="110" t="s">
        <v>65</v>
      </c>
      <c r="G376" s="111" t="s">
        <v>55</v>
      </c>
      <c r="H376" s="70">
        <v>80050</v>
      </c>
      <c r="I376" s="70">
        <v>98082</v>
      </c>
      <c r="J376" s="112">
        <v>116102</v>
      </c>
      <c r="K376" s="112">
        <v>96235</v>
      </c>
      <c r="L376" s="112">
        <v>108113</v>
      </c>
      <c r="M376" s="112">
        <v>102782</v>
      </c>
      <c r="N376" s="112">
        <v>110875</v>
      </c>
      <c r="O376" s="112">
        <v>98505</v>
      </c>
      <c r="P376" s="112">
        <v>98942</v>
      </c>
      <c r="R376" s="111" t="s">
        <v>55</v>
      </c>
      <c r="S376" s="81">
        <v>4.8</v>
      </c>
      <c r="T376" s="81">
        <v>5.0999999999999996</v>
      </c>
      <c r="U376" s="81">
        <v>4</v>
      </c>
      <c r="V376" s="81">
        <v>5.0999999999999996</v>
      </c>
      <c r="W376" s="81">
        <v>5.2</v>
      </c>
      <c r="X376" s="81">
        <v>5.3</v>
      </c>
      <c r="Y376" s="81">
        <v>4.8</v>
      </c>
      <c r="Z376" s="81">
        <v>5.3</v>
      </c>
      <c r="AA376" s="81">
        <v>5.8</v>
      </c>
      <c r="AC376" s="111" t="s">
        <v>55</v>
      </c>
      <c r="AD376" s="70">
        <f t="shared" si="428"/>
        <v>7684.8</v>
      </c>
      <c r="AE376" s="70">
        <f t="shared" si="409"/>
        <v>10004.364</v>
      </c>
      <c r="AF376" s="70">
        <f t="shared" si="410"/>
        <v>9288.16</v>
      </c>
      <c r="AG376" s="70">
        <f t="shared" si="411"/>
        <v>9815.9699999999993</v>
      </c>
      <c r="AH376" s="70">
        <f t="shared" si="412"/>
        <v>11243.752</v>
      </c>
      <c r="AI376" s="70">
        <f t="shared" si="413"/>
        <v>10894.892</v>
      </c>
      <c r="AJ376" s="70">
        <f t="shared" si="414"/>
        <v>10644</v>
      </c>
      <c r="AK376" s="70">
        <f t="shared" si="425"/>
        <v>10441.530000000001</v>
      </c>
      <c r="AL376" s="70">
        <f t="shared" si="426"/>
        <v>11477.271999999999</v>
      </c>
      <c r="AN376" s="111" t="s">
        <v>55</v>
      </c>
      <c r="AO376" s="113">
        <f t="shared" ref="AO376:AW376" si="444">H376/H374</f>
        <v>0.3220939122037581</v>
      </c>
      <c r="AP376" s="113">
        <f t="shared" si="444"/>
        <v>0.37545505005072061</v>
      </c>
      <c r="AQ376" s="113">
        <f t="shared" si="444"/>
        <v>0.41497753584078861</v>
      </c>
      <c r="AR376" s="113">
        <f t="shared" si="444"/>
        <v>0.32399738741650508</v>
      </c>
      <c r="AS376" s="113">
        <f t="shared" si="444"/>
        <v>0.34733872859111808</v>
      </c>
      <c r="AT376" s="113">
        <f t="shared" si="444"/>
        <v>0.32084783592689131</v>
      </c>
      <c r="AU376" s="113">
        <f t="shared" si="444"/>
        <v>0.34715264383939082</v>
      </c>
      <c r="AV376" s="113">
        <f t="shared" si="444"/>
        <v>0.30634808083446846</v>
      </c>
      <c r="AW376" s="113">
        <f t="shared" si="444"/>
        <v>0.30764399338333148</v>
      </c>
      <c r="AY376" s="111" t="s">
        <v>55</v>
      </c>
      <c r="AZ376" s="179">
        <f t="shared" si="416"/>
        <v>3.0921015571560777E-2</v>
      </c>
      <c r="BA376" s="179">
        <f t="shared" si="417"/>
        <v>3.8296415105173495E-2</v>
      </c>
      <c r="BB376" s="179">
        <f t="shared" si="418"/>
        <v>3.3198202867263091E-2</v>
      </c>
      <c r="BC376" s="179">
        <f t="shared" si="419"/>
        <v>3.3047733516483518E-2</v>
      </c>
      <c r="BD376" s="179">
        <f t="shared" si="420"/>
        <v>3.6123227773476284E-2</v>
      </c>
      <c r="BE376" s="179">
        <f t="shared" si="421"/>
        <v>3.4009870608250475E-2</v>
      </c>
      <c r="BF376" s="179">
        <f t="shared" si="422"/>
        <v>3.3326653808581519E-2</v>
      </c>
      <c r="BG376" s="179">
        <f t="shared" si="423"/>
        <v>3.2472896568453653E-2</v>
      </c>
      <c r="BH376" s="179">
        <f t="shared" si="424"/>
        <v>3.5686703232466449E-2</v>
      </c>
    </row>
    <row r="377" spans="2:68" s="108" customFormat="1" x14ac:dyDescent="0.25">
      <c r="B377" s="107"/>
      <c r="E377" s="109" t="s">
        <v>3</v>
      </c>
      <c r="F377" s="110" t="s">
        <v>65</v>
      </c>
      <c r="G377" s="111" t="s">
        <v>130</v>
      </c>
      <c r="H377" s="70">
        <v>32905</v>
      </c>
      <c r="I377" s="70">
        <v>34277</v>
      </c>
      <c r="J377" s="70">
        <v>27793</v>
      </c>
      <c r="K377" s="70">
        <v>33841</v>
      </c>
      <c r="L377" s="70">
        <v>51158</v>
      </c>
      <c r="M377" s="70">
        <v>47772</v>
      </c>
      <c r="N377" s="70">
        <v>45817</v>
      </c>
      <c r="O377" s="112">
        <v>42896</v>
      </c>
      <c r="P377" s="112">
        <v>44063</v>
      </c>
      <c r="R377" s="111" t="s">
        <v>130</v>
      </c>
      <c r="S377" s="220">
        <v>8.6</v>
      </c>
      <c r="T377" s="220">
        <v>10.7</v>
      </c>
      <c r="U377" s="220">
        <v>10.9</v>
      </c>
      <c r="V377" s="220">
        <v>9.9</v>
      </c>
      <c r="W377" s="220">
        <v>9</v>
      </c>
      <c r="X377" s="220">
        <v>9.6999999999999993</v>
      </c>
      <c r="Y377" s="220">
        <v>9.3000000000000007</v>
      </c>
      <c r="Z377" s="220">
        <v>9.6</v>
      </c>
      <c r="AA377" s="220">
        <v>10.1</v>
      </c>
      <c r="AC377" s="111" t="s">
        <v>130</v>
      </c>
      <c r="AD377" s="70">
        <f t="shared" si="428"/>
        <v>5659.66</v>
      </c>
      <c r="AE377" s="70">
        <f t="shared" si="409"/>
        <v>7335.2779999999993</v>
      </c>
      <c r="AF377" s="70">
        <f t="shared" si="410"/>
        <v>6058.8739999999998</v>
      </c>
      <c r="AG377" s="70">
        <f t="shared" si="411"/>
        <v>6700.518</v>
      </c>
      <c r="AH377" s="70">
        <f t="shared" si="412"/>
        <v>9208.44</v>
      </c>
      <c r="AI377" s="70">
        <f t="shared" si="413"/>
        <v>9267.768</v>
      </c>
      <c r="AJ377" s="70">
        <f t="shared" si="414"/>
        <v>8521.9620000000014</v>
      </c>
      <c r="AK377" s="70">
        <f t="shared" si="425"/>
        <v>8236.0319999999992</v>
      </c>
      <c r="AL377" s="70">
        <f t="shared" si="426"/>
        <v>8900.7260000000006</v>
      </c>
      <c r="AN377" s="111" t="s">
        <v>130</v>
      </c>
      <c r="AO377" s="113">
        <f t="shared" ref="AO377:AW377" si="445">H377/H374</f>
        <v>0.132398503198809</v>
      </c>
      <c r="AP377" s="113">
        <f t="shared" si="445"/>
        <v>0.13121136141788045</v>
      </c>
      <c r="AQ377" s="113">
        <f t="shared" si="445"/>
        <v>9.933912123497475E-2</v>
      </c>
      <c r="AR377" s="113">
        <f t="shared" si="445"/>
        <v>0.11393355419090713</v>
      </c>
      <c r="AS377" s="113">
        <f t="shared" si="445"/>
        <v>0.164357243599423</v>
      </c>
      <c r="AT377" s="113">
        <f t="shared" si="445"/>
        <v>0.14912672275203295</v>
      </c>
      <c r="AU377" s="113">
        <f t="shared" si="445"/>
        <v>0.14345427447837086</v>
      </c>
      <c r="AV377" s="113">
        <f t="shared" si="445"/>
        <v>0.1334054847517929</v>
      </c>
      <c r="AW377" s="113">
        <f t="shared" si="445"/>
        <v>0.13700670372996032</v>
      </c>
      <c r="AY377" s="111" t="s">
        <v>130</v>
      </c>
      <c r="AZ377" s="179">
        <f t="shared" si="416"/>
        <v>2.2772542550195146E-2</v>
      </c>
      <c r="BA377" s="179">
        <f t="shared" si="417"/>
        <v>2.8079231343426415E-2</v>
      </c>
      <c r="BB377" s="179">
        <f t="shared" si="418"/>
        <v>2.1655928429224498E-2</v>
      </c>
      <c r="BC377" s="179">
        <f t="shared" si="419"/>
        <v>2.2558843729799612E-2</v>
      </c>
      <c r="BD377" s="179">
        <f t="shared" si="420"/>
        <v>2.9584303847896138E-2</v>
      </c>
      <c r="BE377" s="179">
        <f t="shared" si="421"/>
        <v>2.8930584213894394E-2</v>
      </c>
      <c r="BF377" s="179">
        <f t="shared" si="422"/>
        <v>2.6682495052976981E-2</v>
      </c>
      <c r="BG377" s="179">
        <f t="shared" si="423"/>
        <v>2.5613853072344237E-2</v>
      </c>
      <c r="BH377" s="179">
        <f t="shared" si="424"/>
        <v>2.7675354153451983E-2</v>
      </c>
    </row>
    <row r="378" spans="2:68" s="108" customFormat="1" x14ac:dyDescent="0.25">
      <c r="B378" s="107"/>
      <c r="E378" s="109" t="s">
        <v>3</v>
      </c>
      <c r="F378" s="110" t="s">
        <v>65</v>
      </c>
      <c r="G378" s="111" t="s">
        <v>131</v>
      </c>
      <c r="H378" s="112">
        <v>76048</v>
      </c>
      <c r="I378" s="112">
        <v>67224</v>
      </c>
      <c r="J378" s="112">
        <v>75821</v>
      </c>
      <c r="K378" s="112">
        <v>94611</v>
      </c>
      <c r="L378" s="112">
        <v>84346</v>
      </c>
      <c r="M378" s="112">
        <v>98867</v>
      </c>
      <c r="N378" s="112">
        <v>101965</v>
      </c>
      <c r="O378" s="112">
        <v>95112</v>
      </c>
      <c r="P378" s="112">
        <v>121303</v>
      </c>
      <c r="R378" s="111" t="s">
        <v>131</v>
      </c>
      <c r="S378" s="220">
        <v>4.9000000000000004</v>
      </c>
      <c r="T378" s="220">
        <v>6.8</v>
      </c>
      <c r="U378" s="220">
        <v>5.5</v>
      </c>
      <c r="V378" s="220">
        <v>5.2</v>
      </c>
      <c r="W378" s="220">
        <v>6.7</v>
      </c>
      <c r="X378" s="220">
        <v>5.3</v>
      </c>
      <c r="Y378" s="220">
        <v>4.9000000000000004</v>
      </c>
      <c r="Z378" s="220">
        <v>5.7</v>
      </c>
      <c r="AA378" s="220">
        <v>5.4</v>
      </c>
      <c r="AC378" s="111" t="s">
        <v>131</v>
      </c>
      <c r="AD378" s="112">
        <f t="shared" si="428"/>
        <v>7452.7040000000006</v>
      </c>
      <c r="AE378" s="112">
        <f t="shared" si="409"/>
        <v>9142.4639999999999</v>
      </c>
      <c r="AF378" s="112">
        <f t="shared" si="410"/>
        <v>8340.31</v>
      </c>
      <c r="AG378" s="112">
        <f t="shared" si="411"/>
        <v>9839.5439999999999</v>
      </c>
      <c r="AH378" s="112">
        <f t="shared" si="412"/>
        <v>11302.364000000001</v>
      </c>
      <c r="AI378" s="112">
        <f t="shared" si="413"/>
        <v>10479.902</v>
      </c>
      <c r="AJ378" s="112">
        <f t="shared" si="414"/>
        <v>9992.5700000000015</v>
      </c>
      <c r="AK378" s="112">
        <f t="shared" si="425"/>
        <v>10842.768</v>
      </c>
      <c r="AL378" s="112">
        <f t="shared" si="426"/>
        <v>13100.724000000002</v>
      </c>
      <c r="AN378" s="111" t="s">
        <v>131</v>
      </c>
      <c r="AO378" s="113">
        <f t="shared" ref="AO378:AW378" si="446">H378/H374</f>
        <v>0.30599122842312798</v>
      </c>
      <c r="AP378" s="113">
        <f t="shared" si="446"/>
        <v>0.25733152142706756</v>
      </c>
      <c r="AQ378" s="113">
        <f t="shared" si="446"/>
        <v>0.271003184656461</v>
      </c>
      <c r="AR378" s="113">
        <f t="shared" si="446"/>
        <v>0.31852981577246281</v>
      </c>
      <c r="AS378" s="113">
        <f t="shared" si="446"/>
        <v>0.2709815877993067</v>
      </c>
      <c r="AT378" s="113">
        <f t="shared" si="446"/>
        <v>0.30862663690708453</v>
      </c>
      <c r="AU378" s="113">
        <f t="shared" si="446"/>
        <v>0.31925519124314305</v>
      </c>
      <c r="AV378" s="113">
        <f t="shared" si="446"/>
        <v>0.29579593588475678</v>
      </c>
      <c r="AW378" s="113">
        <f t="shared" si="446"/>
        <v>0.37717187169632976</v>
      </c>
      <c r="AY378" s="111" t="s">
        <v>131</v>
      </c>
      <c r="AZ378" s="179">
        <f t="shared" si="416"/>
        <v>2.9987140385466543E-2</v>
      </c>
      <c r="BA378" s="179">
        <f t="shared" si="417"/>
        <v>3.4997086914081189E-2</v>
      </c>
      <c r="BB378" s="179">
        <f t="shared" si="418"/>
        <v>2.9810350312210708E-2</v>
      </c>
      <c r="BC378" s="179">
        <f t="shared" si="419"/>
        <v>3.3127100840336134E-2</v>
      </c>
      <c r="BD378" s="179">
        <f t="shared" si="420"/>
        <v>3.6311532765107096E-2</v>
      </c>
      <c r="BE378" s="179">
        <f t="shared" si="421"/>
        <v>3.271442351215096E-2</v>
      </c>
      <c r="BF378" s="179">
        <f t="shared" si="422"/>
        <v>3.1287008741828021E-2</v>
      </c>
      <c r="BG378" s="179">
        <f t="shared" si="423"/>
        <v>3.3720736690862271E-2</v>
      </c>
      <c r="BH378" s="179">
        <f t="shared" si="424"/>
        <v>4.0734562143203618E-2</v>
      </c>
    </row>
    <row r="379" spans="2:68" s="87" customFormat="1" x14ac:dyDescent="0.25">
      <c r="B379" s="84"/>
      <c r="C379" s="85"/>
      <c r="D379" s="85"/>
      <c r="E379" s="109" t="s">
        <v>45</v>
      </c>
      <c r="F379" s="110" t="s">
        <v>65</v>
      </c>
      <c r="G379" s="195" t="s">
        <v>7</v>
      </c>
      <c r="H379" s="69">
        <v>143145</v>
      </c>
      <c r="I379" s="69">
        <v>141381</v>
      </c>
      <c r="J379" s="69">
        <v>144795</v>
      </c>
      <c r="K379" s="69">
        <v>147318</v>
      </c>
      <c r="L379" s="69">
        <v>153132</v>
      </c>
      <c r="M379" s="69">
        <v>162077</v>
      </c>
      <c r="N379" s="69">
        <v>171407</v>
      </c>
      <c r="O379" s="69">
        <v>180243</v>
      </c>
      <c r="P379" s="69">
        <v>190888</v>
      </c>
      <c r="R379" s="195" t="s">
        <v>7</v>
      </c>
      <c r="S379" s="226">
        <v>1.4</v>
      </c>
      <c r="T379" s="226">
        <v>1.6</v>
      </c>
      <c r="U379" s="226">
        <v>1.6</v>
      </c>
      <c r="V379" s="226">
        <v>1.7</v>
      </c>
      <c r="W379" s="226">
        <v>1.8</v>
      </c>
      <c r="X379" s="226">
        <v>1.8</v>
      </c>
      <c r="Y379" s="226">
        <v>1.7</v>
      </c>
      <c r="Z379" s="226">
        <v>1.7</v>
      </c>
      <c r="AA379" s="226">
        <v>1.2</v>
      </c>
      <c r="AC379" s="195" t="s">
        <v>7</v>
      </c>
      <c r="AD379" s="69">
        <f t="shared" si="428"/>
        <v>4008.06</v>
      </c>
      <c r="AE379" s="69">
        <f t="shared" si="409"/>
        <v>4524.192</v>
      </c>
      <c r="AF379" s="69">
        <f t="shared" si="410"/>
        <v>4633.4399999999996</v>
      </c>
      <c r="AG379" s="69">
        <f t="shared" si="411"/>
        <v>5008.8119999999999</v>
      </c>
      <c r="AH379" s="69">
        <f t="shared" si="412"/>
        <v>5512.7520000000004</v>
      </c>
      <c r="AI379" s="69">
        <f t="shared" si="413"/>
        <v>5834.7720000000008</v>
      </c>
      <c r="AJ379" s="69">
        <f t="shared" si="414"/>
        <v>5827.8379999999997</v>
      </c>
      <c r="AK379" s="69">
        <f t="shared" si="425"/>
        <v>6128.2619999999997</v>
      </c>
      <c r="AL379" s="69">
        <f t="shared" si="426"/>
        <v>4581.3119999999999</v>
      </c>
      <c r="AN379" s="195" t="s">
        <v>7</v>
      </c>
      <c r="AO379" s="98">
        <f t="shared" ref="AO379:AW379" si="447">H379/H379</f>
        <v>1</v>
      </c>
      <c r="AP379" s="98">
        <f t="shared" si="447"/>
        <v>1</v>
      </c>
      <c r="AQ379" s="98">
        <f t="shared" si="447"/>
        <v>1</v>
      </c>
      <c r="AR379" s="98">
        <f t="shared" si="447"/>
        <v>1</v>
      </c>
      <c r="AS379" s="98">
        <f t="shared" si="447"/>
        <v>1</v>
      </c>
      <c r="AT379" s="98">
        <f t="shared" si="447"/>
        <v>1</v>
      </c>
      <c r="AU379" s="98">
        <f t="shared" si="447"/>
        <v>1</v>
      </c>
      <c r="AV379" s="98">
        <f t="shared" si="447"/>
        <v>1</v>
      </c>
      <c r="AW379" s="98">
        <f t="shared" si="447"/>
        <v>1</v>
      </c>
      <c r="AX379" s="191"/>
      <c r="AY379" s="195" t="s">
        <v>7</v>
      </c>
      <c r="AZ379" s="178">
        <f t="shared" si="416"/>
        <v>2.7999999999999997E-2</v>
      </c>
      <c r="BA379" s="178">
        <f t="shared" si="417"/>
        <v>3.2000000000000001E-2</v>
      </c>
      <c r="BB379" s="178">
        <f t="shared" si="418"/>
        <v>3.2000000000000001E-2</v>
      </c>
      <c r="BC379" s="178">
        <f t="shared" si="419"/>
        <v>3.4000000000000002E-2</v>
      </c>
      <c r="BD379" s="178">
        <f t="shared" si="420"/>
        <v>3.6000000000000004E-2</v>
      </c>
      <c r="BE379" s="178">
        <f t="shared" si="421"/>
        <v>3.6000000000000004E-2</v>
      </c>
      <c r="BF379" s="178">
        <f t="shared" si="422"/>
        <v>3.4000000000000002E-2</v>
      </c>
      <c r="BG379" s="178">
        <f t="shared" si="423"/>
        <v>3.4000000000000002E-2</v>
      </c>
      <c r="BH379" s="178">
        <f t="shared" si="424"/>
        <v>2.4E-2</v>
      </c>
      <c r="BI379" s="191"/>
      <c r="BJ379" s="191"/>
      <c r="BK379" s="191"/>
      <c r="BL379" s="191"/>
      <c r="BM379" s="191"/>
      <c r="BN379" s="191"/>
      <c r="BO379" s="191"/>
      <c r="BP379" s="191"/>
    </row>
    <row r="380" spans="2:68" s="108" customFormat="1" x14ac:dyDescent="0.25">
      <c r="B380" s="107"/>
      <c r="E380" s="109" t="s">
        <v>45</v>
      </c>
      <c r="F380" s="110" t="s">
        <v>65</v>
      </c>
      <c r="G380" s="111" t="s">
        <v>54</v>
      </c>
      <c r="H380" s="112">
        <v>16093</v>
      </c>
      <c r="I380" s="112">
        <v>14224</v>
      </c>
      <c r="J380" s="112">
        <v>12584</v>
      </c>
      <c r="K380" s="112">
        <v>13638</v>
      </c>
      <c r="L380" s="112">
        <v>12160</v>
      </c>
      <c r="M380" s="112">
        <v>14798</v>
      </c>
      <c r="N380" s="112">
        <v>17027</v>
      </c>
      <c r="O380" s="112">
        <v>17284</v>
      </c>
      <c r="P380" s="112">
        <v>19136</v>
      </c>
      <c r="R380" s="111" t="s">
        <v>54</v>
      </c>
      <c r="S380" s="220">
        <v>12.1</v>
      </c>
      <c r="T380" s="220">
        <v>15.6</v>
      </c>
      <c r="U380" s="220">
        <v>15.7</v>
      </c>
      <c r="V380" s="220">
        <v>16.2</v>
      </c>
      <c r="W380" s="220">
        <v>19.399999999999999</v>
      </c>
      <c r="X380" s="220">
        <v>18.600000000000001</v>
      </c>
      <c r="Y380" s="220">
        <v>15.2</v>
      </c>
      <c r="Z380" s="220">
        <v>14.7</v>
      </c>
      <c r="AA380" s="220">
        <v>15.4</v>
      </c>
      <c r="AC380" s="111" t="s">
        <v>54</v>
      </c>
      <c r="AD380" s="112">
        <f t="shared" si="428"/>
        <v>3894.5059999999999</v>
      </c>
      <c r="AE380" s="112">
        <f t="shared" si="409"/>
        <v>4437.8879999999999</v>
      </c>
      <c r="AF380" s="112">
        <f t="shared" si="410"/>
        <v>3951.3759999999997</v>
      </c>
      <c r="AG380" s="112">
        <f t="shared" si="411"/>
        <v>4418.7119999999995</v>
      </c>
      <c r="AH380" s="112">
        <f t="shared" si="412"/>
        <v>4718.079999999999</v>
      </c>
      <c r="AI380" s="112">
        <f t="shared" si="413"/>
        <v>5504.8560000000007</v>
      </c>
      <c r="AJ380" s="112">
        <f t="shared" si="414"/>
        <v>5176.2079999999996</v>
      </c>
      <c r="AK380" s="112">
        <f t="shared" si="425"/>
        <v>5081.4960000000001</v>
      </c>
      <c r="AL380" s="112">
        <f t="shared" si="426"/>
        <v>5893.8880000000008</v>
      </c>
      <c r="AN380" s="111" t="s">
        <v>54</v>
      </c>
      <c r="AO380" s="113">
        <f t="shared" ref="AO380:AW380" si="448">H380/H379</f>
        <v>0.1124244647036222</v>
      </c>
      <c r="AP380" s="113">
        <f t="shared" si="448"/>
        <v>0.10060757810455435</v>
      </c>
      <c r="AQ380" s="113">
        <f t="shared" si="448"/>
        <v>8.6909078352153044E-2</v>
      </c>
      <c r="AR380" s="113">
        <f t="shared" si="448"/>
        <v>9.2575245387529023E-2</v>
      </c>
      <c r="AS380" s="113">
        <f t="shared" si="448"/>
        <v>7.9408614789854504E-2</v>
      </c>
      <c r="AT380" s="113">
        <f t="shared" si="448"/>
        <v>9.1302282248560865E-2</v>
      </c>
      <c r="AU380" s="113">
        <f t="shared" si="448"/>
        <v>9.9336666530538423E-2</v>
      </c>
      <c r="AV380" s="113">
        <f t="shared" si="448"/>
        <v>9.5892766986790057E-2</v>
      </c>
      <c r="AW380" s="113">
        <f t="shared" si="448"/>
        <v>0.10024726541217886</v>
      </c>
      <c r="AY380" s="111" t="s">
        <v>54</v>
      </c>
      <c r="AZ380" s="179">
        <f t="shared" si="416"/>
        <v>2.7206720458276573E-2</v>
      </c>
      <c r="BA380" s="179">
        <f t="shared" si="417"/>
        <v>3.1389564368620955E-2</v>
      </c>
      <c r="BB380" s="179">
        <f t="shared" si="418"/>
        <v>2.7289450602576055E-2</v>
      </c>
      <c r="BC380" s="179">
        <f t="shared" si="419"/>
        <v>2.9994379505559401E-2</v>
      </c>
      <c r="BD380" s="179">
        <f t="shared" si="420"/>
        <v>3.0810542538463544E-2</v>
      </c>
      <c r="BE380" s="179">
        <f t="shared" si="421"/>
        <v>3.3964448996464641E-2</v>
      </c>
      <c r="BF380" s="179">
        <f t="shared" si="422"/>
        <v>3.019834662528368E-2</v>
      </c>
      <c r="BG380" s="179">
        <f t="shared" si="423"/>
        <v>2.8192473494116275E-2</v>
      </c>
      <c r="BH380" s="179">
        <f t="shared" si="424"/>
        <v>3.0876157746951089E-2</v>
      </c>
    </row>
    <row r="381" spans="2:68" s="108" customFormat="1" x14ac:dyDescent="0.25">
      <c r="B381" s="107"/>
      <c r="E381" s="109" t="s">
        <v>45</v>
      </c>
      <c r="F381" s="110" t="s">
        <v>65</v>
      </c>
      <c r="G381" s="111" t="s">
        <v>55</v>
      </c>
      <c r="H381" s="70">
        <v>58199</v>
      </c>
      <c r="I381" s="70">
        <v>54997</v>
      </c>
      <c r="J381" s="70">
        <v>57488</v>
      </c>
      <c r="K381" s="70">
        <v>68839</v>
      </c>
      <c r="L381" s="70">
        <v>67357</v>
      </c>
      <c r="M381" s="70">
        <v>71130</v>
      </c>
      <c r="N381" s="70">
        <v>77054</v>
      </c>
      <c r="O381" s="112">
        <v>77424</v>
      </c>
      <c r="P381" s="112">
        <v>81185</v>
      </c>
      <c r="R381" s="111" t="s">
        <v>55</v>
      </c>
      <c r="S381" s="81">
        <v>5.3</v>
      </c>
      <c r="T381" s="81">
        <v>7</v>
      </c>
      <c r="U381" s="81">
        <v>6.2</v>
      </c>
      <c r="V381" s="81">
        <v>5.7</v>
      </c>
      <c r="W381" s="81">
        <v>6.6</v>
      </c>
      <c r="X381" s="81">
        <v>6.3</v>
      </c>
      <c r="Y381" s="81">
        <v>5.9</v>
      </c>
      <c r="Z381" s="81">
        <v>5.9</v>
      </c>
      <c r="AA381" s="81">
        <v>5.8</v>
      </c>
      <c r="AC381" s="111" t="s">
        <v>55</v>
      </c>
      <c r="AD381" s="70">
        <f t="shared" si="428"/>
        <v>6169.0940000000001</v>
      </c>
      <c r="AE381" s="70">
        <f t="shared" si="409"/>
        <v>7699.58</v>
      </c>
      <c r="AF381" s="70">
        <f t="shared" si="410"/>
        <v>7128.5120000000006</v>
      </c>
      <c r="AG381" s="70">
        <f t="shared" si="411"/>
        <v>7847.6459999999997</v>
      </c>
      <c r="AH381" s="70">
        <f t="shared" si="412"/>
        <v>8891.1239999999998</v>
      </c>
      <c r="AI381" s="70">
        <f t="shared" si="413"/>
        <v>8962.3799999999992</v>
      </c>
      <c r="AJ381" s="70">
        <f t="shared" si="414"/>
        <v>9092.3720000000012</v>
      </c>
      <c r="AK381" s="70">
        <f t="shared" si="425"/>
        <v>9136.0320000000011</v>
      </c>
      <c r="AL381" s="70">
        <f t="shared" si="426"/>
        <v>9417.4599999999991</v>
      </c>
      <c r="AN381" s="111" t="s">
        <v>55</v>
      </c>
      <c r="AO381" s="113">
        <f t="shared" ref="AO381:AW381" si="449">H381/H379</f>
        <v>0.40657375388591988</v>
      </c>
      <c r="AP381" s="113">
        <f t="shared" si="449"/>
        <v>0.38899852172498428</v>
      </c>
      <c r="AQ381" s="113">
        <f t="shared" si="449"/>
        <v>0.39703028419489622</v>
      </c>
      <c r="AR381" s="113">
        <f t="shared" si="449"/>
        <v>0.46728166279748573</v>
      </c>
      <c r="AS381" s="113">
        <f t="shared" si="449"/>
        <v>0.439862340986861</v>
      </c>
      <c r="AT381" s="113">
        <f t="shared" si="449"/>
        <v>0.4388654775199442</v>
      </c>
      <c r="AU381" s="113">
        <f t="shared" si="449"/>
        <v>0.44953823356105643</v>
      </c>
      <c r="AV381" s="113">
        <f t="shared" si="449"/>
        <v>0.42955343619447078</v>
      </c>
      <c r="AW381" s="113">
        <f t="shared" si="449"/>
        <v>0.42530174762164202</v>
      </c>
      <c r="AY381" s="111" t="s">
        <v>55</v>
      </c>
      <c r="AZ381" s="179">
        <f t="shared" si="416"/>
        <v>4.3096817911907503E-2</v>
      </c>
      <c r="BA381" s="179">
        <f t="shared" si="417"/>
        <v>5.4459793041497805E-2</v>
      </c>
      <c r="BB381" s="179">
        <f t="shared" si="418"/>
        <v>4.9231755240167131E-2</v>
      </c>
      <c r="BC381" s="179">
        <f t="shared" si="419"/>
        <v>5.327010955891337E-2</v>
      </c>
      <c r="BD381" s="179">
        <f t="shared" si="420"/>
        <v>5.8061829010265652E-2</v>
      </c>
      <c r="BE381" s="179">
        <f t="shared" si="421"/>
        <v>5.5297050167512969E-2</v>
      </c>
      <c r="BF381" s="179">
        <f t="shared" si="422"/>
        <v>5.3045511560204657E-2</v>
      </c>
      <c r="BG381" s="179">
        <f t="shared" si="423"/>
        <v>5.0687305470947554E-2</v>
      </c>
      <c r="BH381" s="179">
        <f t="shared" si="424"/>
        <v>4.9335002724110469E-2</v>
      </c>
    </row>
    <row r="382" spans="2:68" s="108" customFormat="1" x14ac:dyDescent="0.25">
      <c r="B382" s="107"/>
      <c r="E382" s="109" t="s">
        <v>45</v>
      </c>
      <c r="F382" s="110" t="s">
        <v>65</v>
      </c>
      <c r="G382" s="111" t="s">
        <v>130</v>
      </c>
      <c r="H382" s="70">
        <v>15369</v>
      </c>
      <c r="I382" s="70">
        <v>21707</v>
      </c>
      <c r="J382" s="70">
        <v>16894</v>
      </c>
      <c r="K382" s="70">
        <v>14187</v>
      </c>
      <c r="L382" s="70">
        <v>17319</v>
      </c>
      <c r="M382" s="70">
        <v>23504</v>
      </c>
      <c r="N382" s="70">
        <v>21185</v>
      </c>
      <c r="O382" s="112">
        <v>22196</v>
      </c>
      <c r="P382" s="112">
        <v>24731</v>
      </c>
      <c r="R382" s="111" t="s">
        <v>130</v>
      </c>
      <c r="S382" s="220">
        <v>12.5</v>
      </c>
      <c r="T382" s="220">
        <v>12.4</v>
      </c>
      <c r="U382" s="220">
        <v>13.6</v>
      </c>
      <c r="V382" s="220">
        <v>14.9</v>
      </c>
      <c r="W382" s="220">
        <v>15.9</v>
      </c>
      <c r="X382" s="220">
        <v>13.9</v>
      </c>
      <c r="Y382" s="220">
        <v>13.7</v>
      </c>
      <c r="Z382" s="220">
        <v>12.9</v>
      </c>
      <c r="AA382" s="220">
        <v>14.2</v>
      </c>
      <c r="AC382" s="111" t="s">
        <v>130</v>
      </c>
      <c r="AD382" s="70">
        <f t="shared" si="428"/>
        <v>3842.25</v>
      </c>
      <c r="AE382" s="70">
        <f t="shared" si="409"/>
        <v>5383.3359999999993</v>
      </c>
      <c r="AF382" s="70">
        <f t="shared" si="410"/>
        <v>4595.1679999999997</v>
      </c>
      <c r="AG382" s="70">
        <f t="shared" si="411"/>
        <v>4227.7260000000006</v>
      </c>
      <c r="AH382" s="70">
        <f t="shared" si="412"/>
        <v>5507.4420000000009</v>
      </c>
      <c r="AI382" s="70">
        <f t="shared" si="413"/>
        <v>6534.112000000001</v>
      </c>
      <c r="AJ382" s="70">
        <f t="shared" si="414"/>
        <v>5804.69</v>
      </c>
      <c r="AK382" s="70">
        <f t="shared" si="425"/>
        <v>5726.5680000000002</v>
      </c>
      <c r="AL382" s="70">
        <f t="shared" si="426"/>
        <v>7023.6039999999994</v>
      </c>
      <c r="AN382" s="111" t="s">
        <v>130</v>
      </c>
      <c r="AO382" s="113">
        <f t="shared" ref="AO382:AW382" si="450">H382/H379</f>
        <v>0.10736665618778161</v>
      </c>
      <c r="AP382" s="113">
        <f t="shared" si="450"/>
        <v>0.15353548213692081</v>
      </c>
      <c r="AQ382" s="113">
        <f t="shared" si="450"/>
        <v>0.11667529956144894</v>
      </c>
      <c r="AR382" s="113">
        <f t="shared" si="450"/>
        <v>9.6301877570968919E-2</v>
      </c>
      <c r="AS382" s="113">
        <f t="shared" si="450"/>
        <v>0.11309850325209624</v>
      </c>
      <c r="AT382" s="113">
        <f t="shared" si="450"/>
        <v>0.14501749168605046</v>
      </c>
      <c r="AU382" s="113">
        <f t="shared" si="450"/>
        <v>0.1235947190021411</v>
      </c>
      <c r="AV382" s="113">
        <f t="shared" si="450"/>
        <v>0.12314486554262856</v>
      </c>
      <c r="AW382" s="113">
        <f t="shared" si="450"/>
        <v>0.12955764636855119</v>
      </c>
      <c r="AY382" s="111" t="s">
        <v>130</v>
      </c>
      <c r="AZ382" s="179">
        <f t="shared" si="416"/>
        <v>2.6841664046945404E-2</v>
      </c>
      <c r="BA382" s="179">
        <f t="shared" si="417"/>
        <v>3.8076799569956361E-2</v>
      </c>
      <c r="BB382" s="179">
        <f t="shared" si="418"/>
        <v>3.1735681480714109E-2</v>
      </c>
      <c r="BC382" s="179">
        <f t="shared" si="419"/>
        <v>2.869795951614874E-2</v>
      </c>
      <c r="BD382" s="179">
        <f t="shared" si="420"/>
        <v>3.5965324034166607E-2</v>
      </c>
      <c r="BE382" s="179">
        <f t="shared" si="421"/>
        <v>4.0314862688722031E-2</v>
      </c>
      <c r="BF382" s="179">
        <f t="shared" si="422"/>
        <v>3.3864953006586658E-2</v>
      </c>
      <c r="BG382" s="179">
        <f t="shared" si="423"/>
        <v>3.177137530999817E-2</v>
      </c>
      <c r="BH382" s="179">
        <f t="shared" si="424"/>
        <v>3.6794371568668535E-2</v>
      </c>
    </row>
    <row r="383" spans="2:68" s="108" customFormat="1" x14ac:dyDescent="0.25">
      <c r="B383" s="107"/>
      <c r="E383" s="109" t="s">
        <v>45</v>
      </c>
      <c r="F383" s="110" t="s">
        <v>65</v>
      </c>
      <c r="G383" s="111" t="s">
        <v>131</v>
      </c>
      <c r="H383" s="112">
        <v>53465</v>
      </c>
      <c r="I383" s="112">
        <v>50125</v>
      </c>
      <c r="J383" s="112">
        <v>57580</v>
      </c>
      <c r="K383" s="112">
        <v>50619</v>
      </c>
      <c r="L383" s="112">
        <v>56295</v>
      </c>
      <c r="M383" s="112">
        <v>52645</v>
      </c>
      <c r="N383" s="112">
        <v>56140</v>
      </c>
      <c r="O383" s="112">
        <v>63339</v>
      </c>
      <c r="P383" s="112">
        <v>65836</v>
      </c>
      <c r="R383" s="111" t="s">
        <v>131</v>
      </c>
      <c r="S383" s="220">
        <v>5.8</v>
      </c>
      <c r="T383" s="220">
        <v>7</v>
      </c>
      <c r="U383" s="220">
        <v>6.2</v>
      </c>
      <c r="V383" s="220">
        <v>7</v>
      </c>
      <c r="W383" s="220">
        <v>7.8</v>
      </c>
      <c r="X383" s="220">
        <v>7.9</v>
      </c>
      <c r="Y383" s="220">
        <v>7.5</v>
      </c>
      <c r="Z383" s="220">
        <v>7.1</v>
      </c>
      <c r="AA383" s="220">
        <v>7.4</v>
      </c>
      <c r="AC383" s="111" t="s">
        <v>131</v>
      </c>
      <c r="AD383" s="112">
        <f t="shared" si="428"/>
        <v>6201.94</v>
      </c>
      <c r="AE383" s="112">
        <f t="shared" si="409"/>
        <v>7017.5</v>
      </c>
      <c r="AF383" s="112">
        <f t="shared" si="410"/>
        <v>7139.92</v>
      </c>
      <c r="AG383" s="112">
        <f t="shared" si="411"/>
        <v>7086.66</v>
      </c>
      <c r="AH383" s="112">
        <f t="shared" si="412"/>
        <v>8782.02</v>
      </c>
      <c r="AI383" s="112">
        <f t="shared" si="413"/>
        <v>8317.91</v>
      </c>
      <c r="AJ383" s="112">
        <f t="shared" si="414"/>
        <v>8421</v>
      </c>
      <c r="AK383" s="112">
        <f t="shared" si="425"/>
        <v>8994.137999999999</v>
      </c>
      <c r="AL383" s="112">
        <f t="shared" si="426"/>
        <v>9743.728000000001</v>
      </c>
      <c r="AN383" s="111" t="s">
        <v>131</v>
      </c>
      <c r="AO383" s="113">
        <f t="shared" ref="AO383:AW383" si="451">H383/H379</f>
        <v>0.37350239267875229</v>
      </c>
      <c r="AP383" s="113">
        <f t="shared" si="451"/>
        <v>0.35453844576003846</v>
      </c>
      <c r="AQ383" s="113">
        <f t="shared" si="451"/>
        <v>0.39766566525087194</v>
      </c>
      <c r="AR383" s="113">
        <f t="shared" si="451"/>
        <v>0.34360363295727608</v>
      </c>
      <c r="AS383" s="113">
        <f t="shared" si="451"/>
        <v>0.36762401065747197</v>
      </c>
      <c r="AT383" s="113">
        <f t="shared" si="451"/>
        <v>0.32481474854544445</v>
      </c>
      <c r="AU383" s="113">
        <f t="shared" si="451"/>
        <v>0.32752454683881055</v>
      </c>
      <c r="AV383" s="113">
        <f t="shared" si="451"/>
        <v>0.35140893127611056</v>
      </c>
      <c r="AW383" s="113">
        <f t="shared" si="451"/>
        <v>0.34489334059762794</v>
      </c>
      <c r="AY383" s="111" t="s">
        <v>131</v>
      </c>
      <c r="AZ383" s="179">
        <f t="shared" si="416"/>
        <v>4.3326277550735266E-2</v>
      </c>
      <c r="BA383" s="179">
        <f t="shared" si="417"/>
        <v>4.9635382406405387E-2</v>
      </c>
      <c r="BB383" s="179">
        <f t="shared" si="418"/>
        <v>4.9310542491108125E-2</v>
      </c>
      <c r="BC383" s="179">
        <f t="shared" si="419"/>
        <v>4.8104508614018646E-2</v>
      </c>
      <c r="BD383" s="179">
        <f t="shared" si="420"/>
        <v>5.7349345662565623E-2</v>
      </c>
      <c r="BE383" s="179">
        <f t="shared" si="421"/>
        <v>5.1320730270180227E-2</v>
      </c>
      <c r="BF383" s="179">
        <f t="shared" si="422"/>
        <v>4.9128682025821588E-2</v>
      </c>
      <c r="BG383" s="179">
        <f t="shared" si="423"/>
        <v>4.9900068241207698E-2</v>
      </c>
      <c r="BH383" s="179">
        <f t="shared" si="424"/>
        <v>5.1044214408448932E-2</v>
      </c>
    </row>
    <row r="384" spans="2:68" s="87" customFormat="1" x14ac:dyDescent="0.25">
      <c r="B384" s="84"/>
      <c r="C384" s="85"/>
      <c r="D384" s="85"/>
      <c r="E384" s="109" t="s">
        <v>46</v>
      </c>
      <c r="F384" s="110" t="s">
        <v>65</v>
      </c>
      <c r="G384" s="195" t="s">
        <v>7</v>
      </c>
      <c r="H384" s="69">
        <v>907494</v>
      </c>
      <c r="I384" s="69">
        <v>915108</v>
      </c>
      <c r="J384" s="69">
        <v>935340</v>
      </c>
      <c r="K384" s="69">
        <v>949994</v>
      </c>
      <c r="L384" s="69">
        <v>976554</v>
      </c>
      <c r="M384" s="69">
        <v>1002097</v>
      </c>
      <c r="N384" s="69">
        <v>1018599</v>
      </c>
      <c r="O384" s="69">
        <v>1031829</v>
      </c>
      <c r="P384" s="69">
        <v>1056582</v>
      </c>
      <c r="R384" s="195" t="s">
        <v>7</v>
      </c>
      <c r="S384" s="226">
        <v>0.6</v>
      </c>
      <c r="T384" s="226">
        <v>0.7</v>
      </c>
      <c r="U384" s="226">
        <v>0.7</v>
      </c>
      <c r="V384" s="226">
        <v>0.7</v>
      </c>
      <c r="W384" s="226">
        <v>0.8</v>
      </c>
      <c r="X384" s="226">
        <v>0.8</v>
      </c>
      <c r="Y384" s="226">
        <v>0.8</v>
      </c>
      <c r="Z384" s="226">
        <v>0.7</v>
      </c>
      <c r="AA384" s="226">
        <v>0.8</v>
      </c>
      <c r="AC384" s="195" t="s">
        <v>7</v>
      </c>
      <c r="AD384" s="69">
        <f t="shared" si="428"/>
        <v>10889.928</v>
      </c>
      <c r="AE384" s="69">
        <f t="shared" si="409"/>
        <v>12811.511999999999</v>
      </c>
      <c r="AF384" s="69">
        <f t="shared" si="410"/>
        <v>13094.76</v>
      </c>
      <c r="AG384" s="69">
        <f t="shared" si="411"/>
        <v>13299.915999999999</v>
      </c>
      <c r="AH384" s="69">
        <f t="shared" si="412"/>
        <v>15624.864000000001</v>
      </c>
      <c r="AI384" s="69">
        <f t="shared" si="413"/>
        <v>16033.552000000001</v>
      </c>
      <c r="AJ384" s="69">
        <f t="shared" si="414"/>
        <v>16297.584000000001</v>
      </c>
      <c r="AK384" s="69">
        <f t="shared" si="425"/>
        <v>14445.605999999998</v>
      </c>
      <c r="AL384" s="69">
        <f t="shared" si="426"/>
        <v>16905.312000000002</v>
      </c>
      <c r="AN384" s="195" t="s">
        <v>7</v>
      </c>
      <c r="AO384" s="98">
        <f t="shared" ref="AO384:AW384" si="452">H384/H384</f>
        <v>1</v>
      </c>
      <c r="AP384" s="98">
        <f t="shared" si="452"/>
        <v>1</v>
      </c>
      <c r="AQ384" s="98">
        <f t="shared" si="452"/>
        <v>1</v>
      </c>
      <c r="AR384" s="98">
        <f t="shared" si="452"/>
        <v>1</v>
      </c>
      <c r="AS384" s="98">
        <f t="shared" si="452"/>
        <v>1</v>
      </c>
      <c r="AT384" s="98">
        <f t="shared" si="452"/>
        <v>1</v>
      </c>
      <c r="AU384" s="98">
        <f t="shared" si="452"/>
        <v>1</v>
      </c>
      <c r="AV384" s="98">
        <f t="shared" si="452"/>
        <v>1</v>
      </c>
      <c r="AW384" s="98">
        <f t="shared" si="452"/>
        <v>1</v>
      </c>
      <c r="AX384" s="191"/>
      <c r="AY384" s="195" t="s">
        <v>7</v>
      </c>
      <c r="AZ384" s="178">
        <f t="shared" si="416"/>
        <v>1.2E-2</v>
      </c>
      <c r="BA384" s="178">
        <f t="shared" si="417"/>
        <v>1.3999999999999999E-2</v>
      </c>
      <c r="BB384" s="178">
        <f t="shared" si="418"/>
        <v>1.3999999999999999E-2</v>
      </c>
      <c r="BC384" s="178">
        <f t="shared" si="419"/>
        <v>1.3999999999999999E-2</v>
      </c>
      <c r="BD384" s="178">
        <f t="shared" si="420"/>
        <v>1.6E-2</v>
      </c>
      <c r="BE384" s="178">
        <f t="shared" si="421"/>
        <v>1.6E-2</v>
      </c>
      <c r="BF384" s="178">
        <f t="shared" si="422"/>
        <v>1.6E-2</v>
      </c>
      <c r="BG384" s="178">
        <f t="shared" si="423"/>
        <v>1.3999999999999999E-2</v>
      </c>
      <c r="BH384" s="178">
        <f t="shared" si="424"/>
        <v>1.6E-2</v>
      </c>
      <c r="BI384" s="191"/>
      <c r="BJ384" s="191"/>
      <c r="BK384" s="191"/>
      <c r="BL384" s="191"/>
      <c r="BM384" s="191"/>
      <c r="BN384" s="191"/>
      <c r="BO384" s="191"/>
      <c r="BP384" s="191"/>
    </row>
    <row r="385" spans="2:68" s="108" customFormat="1" x14ac:dyDescent="0.25">
      <c r="B385" s="107"/>
      <c r="E385" s="109" t="s">
        <v>46</v>
      </c>
      <c r="F385" s="110" t="s">
        <v>65</v>
      </c>
      <c r="G385" s="111" t="s">
        <v>54</v>
      </c>
      <c r="H385" s="112">
        <v>226951</v>
      </c>
      <c r="I385" s="112">
        <v>207367</v>
      </c>
      <c r="J385" s="112">
        <v>190762</v>
      </c>
      <c r="K385" s="112">
        <v>221046</v>
      </c>
      <c r="L385" s="112">
        <v>190649</v>
      </c>
      <c r="M385" s="112">
        <v>199669</v>
      </c>
      <c r="N385" s="112">
        <v>180553</v>
      </c>
      <c r="O385" s="112">
        <v>193551</v>
      </c>
      <c r="P385" s="112">
        <v>175947</v>
      </c>
      <c r="R385" s="111" t="s">
        <v>54</v>
      </c>
      <c r="S385" s="220">
        <v>3.1</v>
      </c>
      <c r="T385" s="220">
        <v>3.8</v>
      </c>
      <c r="U385" s="220">
        <v>4.2</v>
      </c>
      <c r="V385" s="220">
        <v>3.6</v>
      </c>
      <c r="W385" s="220">
        <v>5</v>
      </c>
      <c r="X385" s="220">
        <v>5.0999999999999996</v>
      </c>
      <c r="Y385" s="220">
        <v>3.7</v>
      </c>
      <c r="Z385" s="220">
        <v>5</v>
      </c>
      <c r="AA385" s="220">
        <v>5.2</v>
      </c>
      <c r="AC385" s="111" t="s">
        <v>54</v>
      </c>
      <c r="AD385" s="112">
        <f t="shared" si="428"/>
        <v>14070.962</v>
      </c>
      <c r="AE385" s="112">
        <f t="shared" si="409"/>
        <v>15759.892</v>
      </c>
      <c r="AF385" s="112">
        <f t="shared" si="410"/>
        <v>16024.008</v>
      </c>
      <c r="AG385" s="112">
        <f t="shared" si="411"/>
        <v>15915.312</v>
      </c>
      <c r="AH385" s="112">
        <f t="shared" si="412"/>
        <v>19064.900000000001</v>
      </c>
      <c r="AI385" s="112">
        <f t="shared" si="413"/>
        <v>20366.237999999998</v>
      </c>
      <c r="AJ385" s="112">
        <f t="shared" si="414"/>
        <v>13360.921999999999</v>
      </c>
      <c r="AK385" s="112">
        <f t="shared" si="425"/>
        <v>19355.099999999999</v>
      </c>
      <c r="AL385" s="112">
        <f t="shared" si="426"/>
        <v>18298.488000000001</v>
      </c>
      <c r="AN385" s="111" t="s">
        <v>54</v>
      </c>
      <c r="AO385" s="113">
        <f t="shared" ref="AO385:AW385" si="453">H385/H384</f>
        <v>0.25008540001366403</v>
      </c>
      <c r="AP385" s="113">
        <f t="shared" si="453"/>
        <v>0.22660385440844141</v>
      </c>
      <c r="AQ385" s="113">
        <f t="shared" si="453"/>
        <v>0.20394936600594435</v>
      </c>
      <c r="AR385" s="113">
        <f t="shared" si="453"/>
        <v>0.23268146956717622</v>
      </c>
      <c r="AS385" s="113">
        <f t="shared" si="453"/>
        <v>0.19522627524949976</v>
      </c>
      <c r="AT385" s="113">
        <f t="shared" si="453"/>
        <v>0.19925117029588951</v>
      </c>
      <c r="AU385" s="113">
        <f t="shared" si="453"/>
        <v>0.17725621171825223</v>
      </c>
      <c r="AV385" s="113">
        <f t="shared" si="453"/>
        <v>0.18758050025731007</v>
      </c>
      <c r="AW385" s="113">
        <f t="shared" si="453"/>
        <v>0.16652469945541379</v>
      </c>
      <c r="AY385" s="111" t="s">
        <v>54</v>
      </c>
      <c r="AZ385" s="179">
        <f t="shared" si="416"/>
        <v>1.5505294800847169E-2</v>
      </c>
      <c r="BA385" s="179">
        <f t="shared" si="417"/>
        <v>1.7221892935041547E-2</v>
      </c>
      <c r="BB385" s="179">
        <f t="shared" si="418"/>
        <v>1.7131746744499327E-2</v>
      </c>
      <c r="BC385" s="179">
        <f t="shared" si="419"/>
        <v>1.675306580883669E-2</v>
      </c>
      <c r="BD385" s="179">
        <f t="shared" si="420"/>
        <v>1.9522627524949977E-2</v>
      </c>
      <c r="BE385" s="179">
        <f t="shared" si="421"/>
        <v>2.0323619370180727E-2</v>
      </c>
      <c r="BF385" s="179">
        <f t="shared" si="422"/>
        <v>1.3116959667150666E-2</v>
      </c>
      <c r="BG385" s="179">
        <f t="shared" si="423"/>
        <v>1.8758050025731009E-2</v>
      </c>
      <c r="BH385" s="179">
        <f t="shared" si="424"/>
        <v>1.7318568743363034E-2</v>
      </c>
    </row>
    <row r="386" spans="2:68" s="108" customFormat="1" x14ac:dyDescent="0.25">
      <c r="B386" s="107"/>
      <c r="E386" s="109" t="s">
        <v>46</v>
      </c>
      <c r="F386" s="110" t="s">
        <v>65</v>
      </c>
      <c r="G386" s="111" t="s">
        <v>55</v>
      </c>
      <c r="H386" s="70">
        <v>217834</v>
      </c>
      <c r="I386" s="70">
        <v>238453</v>
      </c>
      <c r="J386" s="70">
        <v>250794</v>
      </c>
      <c r="K386" s="70">
        <v>237226</v>
      </c>
      <c r="L386" s="70">
        <v>239284</v>
      </c>
      <c r="M386" s="70">
        <v>240757</v>
      </c>
      <c r="N386" s="70">
        <v>259130</v>
      </c>
      <c r="O386" s="112">
        <v>249750</v>
      </c>
      <c r="P386" s="112">
        <v>236002</v>
      </c>
      <c r="R386" s="111" t="s">
        <v>55</v>
      </c>
      <c r="S386" s="81">
        <v>3.1</v>
      </c>
      <c r="T386" s="81">
        <v>3.8</v>
      </c>
      <c r="U386" s="81">
        <v>3</v>
      </c>
      <c r="V386" s="81">
        <v>3.6</v>
      </c>
      <c r="W386" s="81">
        <v>4.2</v>
      </c>
      <c r="X386" s="81">
        <v>4.5</v>
      </c>
      <c r="Y386" s="81">
        <v>3</v>
      </c>
      <c r="Z386" s="81">
        <v>4.2</v>
      </c>
      <c r="AA386" s="81">
        <v>4.4000000000000004</v>
      </c>
      <c r="AC386" s="111" t="s">
        <v>55</v>
      </c>
      <c r="AD386" s="70">
        <f t="shared" si="428"/>
        <v>13505.708000000001</v>
      </c>
      <c r="AE386" s="70">
        <f t="shared" si="409"/>
        <v>18122.428</v>
      </c>
      <c r="AF386" s="70">
        <f t="shared" si="410"/>
        <v>15047.64</v>
      </c>
      <c r="AG386" s="70">
        <f t="shared" si="411"/>
        <v>17080.272000000001</v>
      </c>
      <c r="AH386" s="70">
        <f t="shared" si="412"/>
        <v>20099.856</v>
      </c>
      <c r="AI386" s="70">
        <f t="shared" si="413"/>
        <v>21668.13</v>
      </c>
      <c r="AJ386" s="70">
        <f t="shared" si="414"/>
        <v>15547.8</v>
      </c>
      <c r="AK386" s="70">
        <f t="shared" si="425"/>
        <v>20979</v>
      </c>
      <c r="AL386" s="70">
        <f t="shared" si="426"/>
        <v>20768.175999999999</v>
      </c>
      <c r="AN386" s="111" t="s">
        <v>55</v>
      </c>
      <c r="AO386" s="113">
        <f t="shared" ref="AO386:AW386" si="454">H386/H384</f>
        <v>0.2400390525997968</v>
      </c>
      <c r="AP386" s="113">
        <f t="shared" si="454"/>
        <v>0.26057361535469037</v>
      </c>
      <c r="AQ386" s="113">
        <f t="shared" si="454"/>
        <v>0.26813137468727949</v>
      </c>
      <c r="AR386" s="113">
        <f t="shared" si="454"/>
        <v>0.24971315608309105</v>
      </c>
      <c r="AS386" s="113">
        <f t="shared" si="454"/>
        <v>0.24502894873196976</v>
      </c>
      <c r="AT386" s="113">
        <f t="shared" si="454"/>
        <v>0.24025318906253587</v>
      </c>
      <c r="AU386" s="113">
        <f t="shared" si="454"/>
        <v>0.25439844335209438</v>
      </c>
      <c r="AV386" s="113">
        <f t="shared" si="454"/>
        <v>0.2420459203996011</v>
      </c>
      <c r="AW386" s="113">
        <f t="shared" si="454"/>
        <v>0.22336363860069544</v>
      </c>
      <c r="AY386" s="111" t="s">
        <v>55</v>
      </c>
      <c r="AZ386" s="179">
        <f t="shared" si="416"/>
        <v>1.4882421261187401E-2</v>
      </c>
      <c r="BA386" s="179">
        <f t="shared" si="417"/>
        <v>1.9803594766956468E-2</v>
      </c>
      <c r="BB386" s="179">
        <f t="shared" si="418"/>
        <v>1.6087882481236767E-2</v>
      </c>
      <c r="BC386" s="179">
        <f t="shared" si="419"/>
        <v>1.7979347237982557E-2</v>
      </c>
      <c r="BD386" s="179">
        <f t="shared" si="420"/>
        <v>2.0582431693485458E-2</v>
      </c>
      <c r="BE386" s="179">
        <f t="shared" si="421"/>
        <v>2.1622787015628225E-2</v>
      </c>
      <c r="BF386" s="179">
        <f t="shared" si="422"/>
        <v>1.5263906601125664E-2</v>
      </c>
      <c r="BG386" s="179">
        <f t="shared" si="423"/>
        <v>2.0331857313566494E-2</v>
      </c>
      <c r="BH386" s="179">
        <f t="shared" si="424"/>
        <v>1.9656000196861201E-2</v>
      </c>
    </row>
    <row r="387" spans="2:68" s="108" customFormat="1" x14ac:dyDescent="0.25">
      <c r="B387" s="107"/>
      <c r="E387" s="109" t="s">
        <v>46</v>
      </c>
      <c r="F387" s="110" t="s">
        <v>65</v>
      </c>
      <c r="G387" s="111" t="s">
        <v>130</v>
      </c>
      <c r="H387" s="70">
        <v>119002</v>
      </c>
      <c r="I387" s="70">
        <v>127611</v>
      </c>
      <c r="J387" s="70">
        <v>107023</v>
      </c>
      <c r="K387" s="70">
        <v>110047</v>
      </c>
      <c r="L387" s="70">
        <v>146039</v>
      </c>
      <c r="M387" s="70">
        <v>135219</v>
      </c>
      <c r="N387" s="70">
        <v>133057</v>
      </c>
      <c r="O387" s="112">
        <v>123744</v>
      </c>
      <c r="P387" s="112">
        <v>132786</v>
      </c>
      <c r="R387" s="111" t="s">
        <v>130</v>
      </c>
      <c r="S387" s="220">
        <v>4.7</v>
      </c>
      <c r="T387" s="220">
        <v>5.0999999999999996</v>
      </c>
      <c r="U387" s="220">
        <v>5.3</v>
      </c>
      <c r="V387" s="220">
        <v>5.4</v>
      </c>
      <c r="W387" s="220">
        <v>5.7</v>
      </c>
      <c r="X387" s="220">
        <v>5.8</v>
      </c>
      <c r="Y387" s="220">
        <v>5.0999999999999996</v>
      </c>
      <c r="Z387" s="220">
        <v>6.2</v>
      </c>
      <c r="AA387" s="220">
        <v>5.7</v>
      </c>
      <c r="AC387" s="111" t="s">
        <v>130</v>
      </c>
      <c r="AD387" s="70">
        <f t="shared" si="428"/>
        <v>11186.188</v>
      </c>
      <c r="AE387" s="70">
        <f t="shared" si="409"/>
        <v>13016.322</v>
      </c>
      <c r="AF387" s="70">
        <f t="shared" si="410"/>
        <v>11344.438</v>
      </c>
      <c r="AG387" s="70">
        <f t="shared" si="411"/>
        <v>11885.076000000001</v>
      </c>
      <c r="AH387" s="70">
        <f t="shared" si="412"/>
        <v>16648.446</v>
      </c>
      <c r="AI387" s="70">
        <f t="shared" si="413"/>
        <v>15685.403999999999</v>
      </c>
      <c r="AJ387" s="70">
        <f t="shared" si="414"/>
        <v>13571.813999999998</v>
      </c>
      <c r="AK387" s="70">
        <f t="shared" si="425"/>
        <v>15344.256000000001</v>
      </c>
      <c r="AL387" s="70">
        <f t="shared" si="426"/>
        <v>15137.604000000001</v>
      </c>
      <c r="AN387" s="111" t="s">
        <v>130</v>
      </c>
      <c r="AO387" s="113">
        <f t="shared" ref="AO387:AW387" si="455">H387/H384</f>
        <v>0.13113254743282049</v>
      </c>
      <c r="AP387" s="113">
        <f t="shared" si="455"/>
        <v>0.13944911420291375</v>
      </c>
      <c r="AQ387" s="113">
        <f t="shared" si="455"/>
        <v>0.11442149378835503</v>
      </c>
      <c r="AR387" s="113">
        <f t="shared" si="455"/>
        <v>0.11583967898744624</v>
      </c>
      <c r="AS387" s="113">
        <f t="shared" si="455"/>
        <v>0.14954523764174843</v>
      </c>
      <c r="AT387" s="113">
        <f t="shared" si="455"/>
        <v>0.13493603912595287</v>
      </c>
      <c r="AU387" s="113">
        <f t="shared" si="455"/>
        <v>0.13062745987380706</v>
      </c>
      <c r="AV387" s="113">
        <f t="shared" si="455"/>
        <v>0.11992684834405701</v>
      </c>
      <c r="AW387" s="113">
        <f t="shared" si="455"/>
        <v>0.12567505408950749</v>
      </c>
      <c r="AY387" s="111" t="s">
        <v>130</v>
      </c>
      <c r="AZ387" s="179">
        <f t="shared" si="416"/>
        <v>1.2326459458685126E-2</v>
      </c>
      <c r="BA387" s="179">
        <f t="shared" si="417"/>
        <v>1.4223809648697201E-2</v>
      </c>
      <c r="BB387" s="179">
        <f t="shared" si="418"/>
        <v>1.2128678341565634E-2</v>
      </c>
      <c r="BC387" s="179">
        <f t="shared" si="419"/>
        <v>1.2510685330644193E-2</v>
      </c>
      <c r="BD387" s="179">
        <f t="shared" si="420"/>
        <v>1.7048157091159321E-2</v>
      </c>
      <c r="BE387" s="179">
        <f t="shared" si="421"/>
        <v>1.565258053861053E-2</v>
      </c>
      <c r="BF387" s="179">
        <f t="shared" si="422"/>
        <v>1.3324000907128319E-2</v>
      </c>
      <c r="BG387" s="179">
        <f t="shared" si="423"/>
        <v>1.487092919466307E-2</v>
      </c>
      <c r="BH387" s="179">
        <f t="shared" si="424"/>
        <v>1.4326956166203855E-2</v>
      </c>
    </row>
    <row r="388" spans="2:68" s="108" customFormat="1" x14ac:dyDescent="0.25">
      <c r="B388" s="107"/>
      <c r="E388" s="109" t="s">
        <v>46</v>
      </c>
      <c r="F388" s="110" t="s">
        <v>65</v>
      </c>
      <c r="G388" s="111" t="s">
        <v>131</v>
      </c>
      <c r="H388" s="112">
        <v>339711</v>
      </c>
      <c r="I388" s="112">
        <v>334259</v>
      </c>
      <c r="J388" s="112">
        <v>383903</v>
      </c>
      <c r="K388" s="112">
        <v>377860</v>
      </c>
      <c r="L388" s="112">
        <v>396973</v>
      </c>
      <c r="M388" s="112">
        <v>421702</v>
      </c>
      <c r="N388" s="112">
        <v>442535</v>
      </c>
      <c r="O388" s="112">
        <v>464784</v>
      </c>
      <c r="P388" s="112">
        <v>511847</v>
      </c>
      <c r="R388" s="111" t="s">
        <v>131</v>
      </c>
      <c r="S388" s="220">
        <v>1.8</v>
      </c>
      <c r="T388" s="220">
        <v>2.9</v>
      </c>
      <c r="U388" s="220">
        <v>2.4</v>
      </c>
      <c r="V388" s="220">
        <v>2.7</v>
      </c>
      <c r="W388" s="220">
        <v>3.2</v>
      </c>
      <c r="X388" s="220">
        <v>2.2999999999999998</v>
      </c>
      <c r="Y388" s="220">
        <v>2.4</v>
      </c>
      <c r="Z388" s="220">
        <v>2.2999999999999998</v>
      </c>
      <c r="AA388" s="220">
        <v>2.2999999999999998</v>
      </c>
      <c r="AC388" s="111" t="s">
        <v>131</v>
      </c>
      <c r="AD388" s="112">
        <f t="shared" si="428"/>
        <v>12229.596000000001</v>
      </c>
      <c r="AE388" s="112">
        <f t="shared" si="409"/>
        <v>19387.022000000001</v>
      </c>
      <c r="AF388" s="112">
        <f t="shared" si="410"/>
        <v>18427.343999999997</v>
      </c>
      <c r="AG388" s="112">
        <f t="shared" si="411"/>
        <v>20404.440000000002</v>
      </c>
      <c r="AH388" s="112">
        <f t="shared" si="412"/>
        <v>25406.272000000001</v>
      </c>
      <c r="AI388" s="112">
        <f t="shared" si="413"/>
        <v>19398.292000000001</v>
      </c>
      <c r="AJ388" s="112">
        <f t="shared" si="414"/>
        <v>21241.68</v>
      </c>
      <c r="AK388" s="112">
        <f t="shared" si="425"/>
        <v>21380.063999999998</v>
      </c>
      <c r="AL388" s="112">
        <f t="shared" si="426"/>
        <v>23544.961999999996</v>
      </c>
      <c r="AN388" s="111" t="s">
        <v>131</v>
      </c>
      <c r="AO388" s="113">
        <f t="shared" ref="AO388:AW388" si="456">H388/H384</f>
        <v>0.37433966505563671</v>
      </c>
      <c r="AP388" s="113">
        <f t="shared" si="456"/>
        <v>0.36526726899994316</v>
      </c>
      <c r="AQ388" s="113">
        <f t="shared" si="456"/>
        <v>0.41044219214403321</v>
      </c>
      <c r="AR388" s="113">
        <f t="shared" si="456"/>
        <v>0.39774988052556121</v>
      </c>
      <c r="AS388" s="113">
        <f t="shared" si="456"/>
        <v>0.40650389020986039</v>
      </c>
      <c r="AT388" s="113">
        <f t="shared" si="456"/>
        <v>0.4208195414216388</v>
      </c>
      <c r="AU388" s="113">
        <f t="shared" si="456"/>
        <v>0.43445457927997183</v>
      </c>
      <c r="AV388" s="113">
        <f t="shared" si="456"/>
        <v>0.45044673099903182</v>
      </c>
      <c r="AW388" s="113">
        <f t="shared" si="456"/>
        <v>0.48443660785438331</v>
      </c>
      <c r="AY388" s="111" t="s">
        <v>131</v>
      </c>
      <c r="AZ388" s="179">
        <f t="shared" si="416"/>
        <v>1.347622794200292E-2</v>
      </c>
      <c r="BA388" s="179">
        <f t="shared" si="417"/>
        <v>2.1185501601996705E-2</v>
      </c>
      <c r="BB388" s="179">
        <f t="shared" si="418"/>
        <v>1.9701225222913593E-2</v>
      </c>
      <c r="BC388" s="179">
        <f t="shared" si="419"/>
        <v>2.1478493548380308E-2</v>
      </c>
      <c r="BD388" s="179">
        <f t="shared" si="420"/>
        <v>2.6016248973431067E-2</v>
      </c>
      <c r="BE388" s="179">
        <f t="shared" si="421"/>
        <v>1.9357698905395383E-2</v>
      </c>
      <c r="BF388" s="179">
        <f t="shared" si="422"/>
        <v>2.0853819805438645E-2</v>
      </c>
      <c r="BG388" s="179">
        <f t="shared" si="423"/>
        <v>2.0720549625955459E-2</v>
      </c>
      <c r="BH388" s="179">
        <f t="shared" si="424"/>
        <v>2.2284083961301628E-2</v>
      </c>
    </row>
    <row r="389" spans="2:68" s="87" customFormat="1" x14ac:dyDescent="0.25">
      <c r="B389" s="84"/>
      <c r="C389" s="85"/>
      <c r="D389" s="85"/>
      <c r="E389" s="109" t="s">
        <v>4</v>
      </c>
      <c r="F389" s="110" t="s">
        <v>65</v>
      </c>
      <c r="G389" s="195" t="s">
        <v>7</v>
      </c>
      <c r="H389" s="69">
        <v>447046</v>
      </c>
      <c r="I389" s="69">
        <v>451324</v>
      </c>
      <c r="J389" s="69">
        <v>460226</v>
      </c>
      <c r="K389" s="69">
        <v>468150</v>
      </c>
      <c r="L389" s="69">
        <v>482063</v>
      </c>
      <c r="M389" s="69">
        <v>495751</v>
      </c>
      <c r="N389" s="69">
        <v>503841</v>
      </c>
      <c r="O389" s="69">
        <v>509835</v>
      </c>
      <c r="P389" s="69">
        <v>524325</v>
      </c>
      <c r="R389" s="195" t="s">
        <v>7</v>
      </c>
      <c r="S389" s="226">
        <v>1.8</v>
      </c>
      <c r="T389" s="226">
        <v>1</v>
      </c>
      <c r="U389" s="226">
        <v>0.9</v>
      </c>
      <c r="V389" s="226">
        <v>0.9</v>
      </c>
      <c r="W389" s="226">
        <v>1.1000000000000001</v>
      </c>
      <c r="X389" s="226">
        <v>1.1000000000000001</v>
      </c>
      <c r="Y389" s="226">
        <v>0.9</v>
      </c>
      <c r="Z389" s="226">
        <v>0.9</v>
      </c>
      <c r="AA389" s="226">
        <v>0.9</v>
      </c>
      <c r="AC389" s="195" t="s">
        <v>7</v>
      </c>
      <c r="AD389" s="69">
        <f t="shared" si="428"/>
        <v>16093.656000000001</v>
      </c>
      <c r="AE389" s="69">
        <f t="shared" si="409"/>
        <v>9026.48</v>
      </c>
      <c r="AF389" s="69">
        <f t="shared" si="410"/>
        <v>8284.0680000000011</v>
      </c>
      <c r="AG389" s="69">
        <f t="shared" si="411"/>
        <v>8426.7000000000007</v>
      </c>
      <c r="AH389" s="69">
        <f t="shared" si="412"/>
        <v>10605.386</v>
      </c>
      <c r="AI389" s="69">
        <f t="shared" si="413"/>
        <v>10906.522000000003</v>
      </c>
      <c r="AJ389" s="69">
        <f t="shared" si="414"/>
        <v>9069.1380000000008</v>
      </c>
      <c r="AK389" s="69">
        <f t="shared" si="425"/>
        <v>9177.0300000000007</v>
      </c>
      <c r="AL389" s="69">
        <f t="shared" si="426"/>
        <v>9437.85</v>
      </c>
      <c r="AN389" s="195" t="s">
        <v>7</v>
      </c>
      <c r="AO389" s="98">
        <f t="shared" ref="AO389:AW389" si="457">H389/H389</f>
        <v>1</v>
      </c>
      <c r="AP389" s="98">
        <f t="shared" si="457"/>
        <v>1</v>
      </c>
      <c r="AQ389" s="98">
        <f t="shared" si="457"/>
        <v>1</v>
      </c>
      <c r="AR389" s="98">
        <f t="shared" si="457"/>
        <v>1</v>
      </c>
      <c r="AS389" s="98">
        <f t="shared" si="457"/>
        <v>1</v>
      </c>
      <c r="AT389" s="98">
        <f t="shared" si="457"/>
        <v>1</v>
      </c>
      <c r="AU389" s="98">
        <f t="shared" si="457"/>
        <v>1</v>
      </c>
      <c r="AV389" s="98">
        <f t="shared" si="457"/>
        <v>1</v>
      </c>
      <c r="AW389" s="98">
        <f t="shared" si="457"/>
        <v>1</v>
      </c>
      <c r="AX389" s="191"/>
      <c r="AY389" s="195" t="s">
        <v>7</v>
      </c>
      <c r="AZ389" s="178">
        <f t="shared" si="416"/>
        <v>3.6000000000000004E-2</v>
      </c>
      <c r="BA389" s="178">
        <f t="shared" si="417"/>
        <v>0.02</v>
      </c>
      <c r="BB389" s="178">
        <f t="shared" si="418"/>
        <v>1.8000000000000002E-2</v>
      </c>
      <c r="BC389" s="178">
        <f t="shared" si="419"/>
        <v>1.8000000000000002E-2</v>
      </c>
      <c r="BD389" s="178">
        <f t="shared" si="420"/>
        <v>2.2000000000000002E-2</v>
      </c>
      <c r="BE389" s="178">
        <f t="shared" si="421"/>
        <v>2.2000000000000002E-2</v>
      </c>
      <c r="BF389" s="178">
        <f t="shared" si="422"/>
        <v>1.8000000000000002E-2</v>
      </c>
      <c r="BG389" s="178">
        <f t="shared" si="423"/>
        <v>1.8000000000000002E-2</v>
      </c>
      <c r="BH389" s="178">
        <f t="shared" si="424"/>
        <v>1.8000000000000002E-2</v>
      </c>
      <c r="BI389" s="191"/>
      <c r="BJ389" s="191"/>
      <c r="BK389" s="191"/>
      <c r="BL389" s="191"/>
      <c r="BM389" s="191"/>
      <c r="BN389" s="191"/>
      <c r="BO389" s="191"/>
      <c r="BP389" s="191"/>
    </row>
    <row r="390" spans="2:68" s="108" customFormat="1" x14ac:dyDescent="0.25">
      <c r="B390" s="107"/>
      <c r="E390" s="109" t="s">
        <v>4</v>
      </c>
      <c r="F390" s="110" t="s">
        <v>65</v>
      </c>
      <c r="G390" s="111" t="s">
        <v>54</v>
      </c>
      <c r="H390" s="112">
        <v>123966</v>
      </c>
      <c r="I390" s="112">
        <v>104102</v>
      </c>
      <c r="J390" s="112">
        <v>100019</v>
      </c>
      <c r="K390" s="112">
        <v>122364</v>
      </c>
      <c r="L390" s="112">
        <v>104392</v>
      </c>
      <c r="M390" s="112">
        <v>104278</v>
      </c>
      <c r="N390" s="112">
        <v>102813</v>
      </c>
      <c r="O390" s="112">
        <v>106745</v>
      </c>
      <c r="P390" s="112">
        <v>91539</v>
      </c>
      <c r="R390" s="111" t="s">
        <v>54</v>
      </c>
      <c r="S390" s="220">
        <v>4.7</v>
      </c>
      <c r="T390" s="220">
        <v>5.5</v>
      </c>
      <c r="U390" s="220">
        <v>5</v>
      </c>
      <c r="V390" s="220">
        <v>4.5999999999999996</v>
      </c>
      <c r="W390" s="220">
        <v>5.5</v>
      </c>
      <c r="X390" s="220">
        <v>5.6</v>
      </c>
      <c r="Y390" s="220">
        <v>5.3</v>
      </c>
      <c r="Z390" s="220">
        <v>6.2</v>
      </c>
      <c r="AA390" s="220">
        <v>6.9</v>
      </c>
      <c r="AC390" s="111" t="s">
        <v>54</v>
      </c>
      <c r="AD390" s="112">
        <f t="shared" si="428"/>
        <v>11652.804000000002</v>
      </c>
      <c r="AE390" s="112">
        <f t="shared" si="409"/>
        <v>11451.22</v>
      </c>
      <c r="AF390" s="112">
        <f t="shared" si="410"/>
        <v>10001.9</v>
      </c>
      <c r="AG390" s="112">
        <f t="shared" si="411"/>
        <v>11257.487999999998</v>
      </c>
      <c r="AH390" s="112">
        <f t="shared" si="412"/>
        <v>11483.12</v>
      </c>
      <c r="AI390" s="112">
        <f t="shared" si="413"/>
        <v>11679.135999999999</v>
      </c>
      <c r="AJ390" s="112">
        <f t="shared" si="414"/>
        <v>10898.178</v>
      </c>
      <c r="AK390" s="112">
        <f t="shared" si="425"/>
        <v>13236.38</v>
      </c>
      <c r="AL390" s="112">
        <f t="shared" si="426"/>
        <v>12632.382</v>
      </c>
      <c r="AN390" s="111" t="s">
        <v>54</v>
      </c>
      <c r="AO390" s="113">
        <f t="shared" ref="AO390:AW390" si="458">H390/H389</f>
        <v>0.27730032256188403</v>
      </c>
      <c r="AP390" s="113">
        <f t="shared" si="458"/>
        <v>0.23065912736747879</v>
      </c>
      <c r="AQ390" s="113">
        <f t="shared" si="458"/>
        <v>0.21732583556774279</v>
      </c>
      <c r="AR390" s="113">
        <f t="shared" si="458"/>
        <v>0.26137776353732778</v>
      </c>
      <c r="AS390" s="113">
        <f t="shared" si="458"/>
        <v>0.21655260826904368</v>
      </c>
      <c r="AT390" s="113">
        <f t="shared" si="458"/>
        <v>0.21034349905496913</v>
      </c>
      <c r="AU390" s="113">
        <f t="shared" si="458"/>
        <v>0.20405842319303114</v>
      </c>
      <c r="AV390" s="113">
        <f t="shared" si="458"/>
        <v>0.20937165945845224</v>
      </c>
      <c r="AW390" s="113">
        <f t="shared" si="458"/>
        <v>0.17458446574166786</v>
      </c>
      <c r="AY390" s="111" t="s">
        <v>54</v>
      </c>
      <c r="AZ390" s="179">
        <f t="shared" si="416"/>
        <v>2.6066230320817101E-2</v>
      </c>
      <c r="BA390" s="179">
        <f t="shared" si="417"/>
        <v>2.5372504010422667E-2</v>
      </c>
      <c r="BB390" s="179">
        <f t="shared" si="418"/>
        <v>2.1732583556774279E-2</v>
      </c>
      <c r="BC390" s="179">
        <f t="shared" si="419"/>
        <v>2.4046754245434152E-2</v>
      </c>
      <c r="BD390" s="179">
        <f t="shared" si="420"/>
        <v>2.3820786909594806E-2</v>
      </c>
      <c r="BE390" s="179">
        <f t="shared" si="421"/>
        <v>2.3558471894156541E-2</v>
      </c>
      <c r="BF390" s="179">
        <f t="shared" si="422"/>
        <v>2.1630192858461302E-2</v>
      </c>
      <c r="BG390" s="179">
        <f t="shared" si="423"/>
        <v>2.5962085772848077E-2</v>
      </c>
      <c r="BH390" s="179">
        <f t="shared" si="424"/>
        <v>2.4092656272350167E-2</v>
      </c>
    </row>
    <row r="391" spans="2:68" s="108" customFormat="1" x14ac:dyDescent="0.25">
      <c r="B391" s="107"/>
      <c r="E391" s="109" t="s">
        <v>4</v>
      </c>
      <c r="F391" s="110" t="s">
        <v>65</v>
      </c>
      <c r="G391" s="111" t="s">
        <v>55</v>
      </c>
      <c r="H391" s="70">
        <v>121391</v>
      </c>
      <c r="I391" s="70">
        <v>137627</v>
      </c>
      <c r="J391" s="70">
        <v>136066</v>
      </c>
      <c r="K391" s="70">
        <v>130079</v>
      </c>
      <c r="L391" s="70">
        <v>129880</v>
      </c>
      <c r="M391" s="70">
        <v>131886</v>
      </c>
      <c r="N391" s="70">
        <v>139607</v>
      </c>
      <c r="O391" s="112">
        <v>129848</v>
      </c>
      <c r="P391" s="112">
        <v>134645</v>
      </c>
      <c r="R391" s="111" t="s">
        <v>55</v>
      </c>
      <c r="S391" s="81">
        <v>4.7</v>
      </c>
      <c r="T391" s="81">
        <v>5.0999999999999996</v>
      </c>
      <c r="U391" s="81">
        <v>4.7</v>
      </c>
      <c r="V391" s="81">
        <v>4.9000000000000004</v>
      </c>
      <c r="W391" s="81">
        <v>5.7</v>
      </c>
      <c r="X391" s="81">
        <v>5.8</v>
      </c>
      <c r="Y391" s="81">
        <v>4</v>
      </c>
      <c r="Z391" s="81">
        <v>5.4</v>
      </c>
      <c r="AA391" s="81">
        <v>5.7</v>
      </c>
      <c r="AC391" s="111" t="s">
        <v>55</v>
      </c>
      <c r="AD391" s="70">
        <f t="shared" si="428"/>
        <v>11410.754000000001</v>
      </c>
      <c r="AE391" s="70">
        <f t="shared" si="409"/>
        <v>14037.954</v>
      </c>
      <c r="AF391" s="70">
        <f t="shared" si="410"/>
        <v>12790.204000000002</v>
      </c>
      <c r="AG391" s="70">
        <f t="shared" si="411"/>
        <v>12747.742000000002</v>
      </c>
      <c r="AH391" s="70">
        <f t="shared" si="412"/>
        <v>14806.32</v>
      </c>
      <c r="AI391" s="70">
        <f t="shared" si="413"/>
        <v>15298.775999999998</v>
      </c>
      <c r="AJ391" s="70">
        <f t="shared" si="414"/>
        <v>11168.56</v>
      </c>
      <c r="AK391" s="70">
        <f t="shared" si="425"/>
        <v>14023.584000000001</v>
      </c>
      <c r="AL391" s="70">
        <f t="shared" si="426"/>
        <v>15349.53</v>
      </c>
      <c r="AN391" s="111" t="s">
        <v>55</v>
      </c>
      <c r="AO391" s="113">
        <f t="shared" ref="AO391:AW391" si="459">H391/H389</f>
        <v>0.27154028891881371</v>
      </c>
      <c r="AP391" s="113">
        <f t="shared" si="459"/>
        <v>0.30494057484202036</v>
      </c>
      <c r="AQ391" s="113">
        <f t="shared" si="459"/>
        <v>0.29565039784801378</v>
      </c>
      <c r="AR391" s="113">
        <f t="shared" si="459"/>
        <v>0.27785752429776783</v>
      </c>
      <c r="AS391" s="113">
        <f t="shared" si="459"/>
        <v>0.26942536556425195</v>
      </c>
      <c r="AT391" s="113">
        <f t="shared" si="459"/>
        <v>0.26603274627786933</v>
      </c>
      <c r="AU391" s="113">
        <f t="shared" si="459"/>
        <v>0.27708542972882316</v>
      </c>
      <c r="AV391" s="113">
        <f t="shared" si="459"/>
        <v>0.2546863200839487</v>
      </c>
      <c r="AW391" s="113">
        <f t="shared" si="459"/>
        <v>0.25679683402469844</v>
      </c>
      <c r="AY391" s="111" t="s">
        <v>55</v>
      </c>
      <c r="AZ391" s="179">
        <f t="shared" si="416"/>
        <v>2.5524787158368492E-2</v>
      </c>
      <c r="BA391" s="179">
        <f t="shared" si="417"/>
        <v>3.1103938633886073E-2</v>
      </c>
      <c r="BB391" s="179">
        <f t="shared" si="418"/>
        <v>2.7791137397713297E-2</v>
      </c>
      <c r="BC391" s="179">
        <f t="shared" si="419"/>
        <v>2.7230037381181252E-2</v>
      </c>
      <c r="BD391" s="179">
        <f t="shared" si="420"/>
        <v>3.0714491674324721E-2</v>
      </c>
      <c r="BE391" s="179">
        <f t="shared" si="421"/>
        <v>3.085979856823284E-2</v>
      </c>
      <c r="BF391" s="179">
        <f t="shared" si="422"/>
        <v>2.2166834378305852E-2</v>
      </c>
      <c r="BG391" s="179">
        <f t="shared" si="423"/>
        <v>2.7506122569066462E-2</v>
      </c>
      <c r="BH391" s="179">
        <f t="shared" si="424"/>
        <v>2.9274839078815625E-2</v>
      </c>
    </row>
    <row r="392" spans="2:68" s="108" customFormat="1" x14ac:dyDescent="0.25">
      <c r="B392" s="107"/>
      <c r="E392" s="109" t="s">
        <v>4</v>
      </c>
      <c r="F392" s="110" t="s">
        <v>65</v>
      </c>
      <c r="G392" s="111" t="s">
        <v>130</v>
      </c>
      <c r="H392" s="70">
        <v>60008</v>
      </c>
      <c r="I392" s="70">
        <v>60843</v>
      </c>
      <c r="J392" s="70">
        <v>53541</v>
      </c>
      <c r="K392" s="70">
        <v>54762</v>
      </c>
      <c r="L392" s="70">
        <v>73424</v>
      </c>
      <c r="M392" s="70">
        <v>71865</v>
      </c>
      <c r="N392" s="70">
        <v>64823</v>
      </c>
      <c r="O392" s="112">
        <v>61713</v>
      </c>
      <c r="P392" s="112">
        <v>68238</v>
      </c>
      <c r="R392" s="111" t="s">
        <v>130</v>
      </c>
      <c r="S392" s="220">
        <v>6.3</v>
      </c>
      <c r="T392" s="220">
        <v>7.3</v>
      </c>
      <c r="U392" s="220">
        <v>7.7</v>
      </c>
      <c r="V392" s="220">
        <v>7.9</v>
      </c>
      <c r="W392" s="220">
        <v>7.8</v>
      </c>
      <c r="X392" s="220">
        <v>8</v>
      </c>
      <c r="Y392" s="220">
        <v>8.1</v>
      </c>
      <c r="Z392" s="220">
        <v>8</v>
      </c>
      <c r="AA392" s="220">
        <v>8.1</v>
      </c>
      <c r="AC392" s="111" t="s">
        <v>130</v>
      </c>
      <c r="AD392" s="70">
        <f t="shared" si="428"/>
        <v>7561.0079999999989</v>
      </c>
      <c r="AE392" s="70">
        <f t="shared" si="409"/>
        <v>8883.0779999999995</v>
      </c>
      <c r="AF392" s="70">
        <f t="shared" si="410"/>
        <v>8245.3140000000003</v>
      </c>
      <c r="AG392" s="70">
        <f t="shared" si="411"/>
        <v>8652.3960000000006</v>
      </c>
      <c r="AH392" s="70">
        <f t="shared" si="412"/>
        <v>11454.143999999998</v>
      </c>
      <c r="AI392" s="70">
        <f t="shared" si="413"/>
        <v>11498.4</v>
      </c>
      <c r="AJ392" s="70">
        <f t="shared" si="414"/>
        <v>10501.325999999999</v>
      </c>
      <c r="AK392" s="70">
        <f t="shared" si="425"/>
        <v>9874.08</v>
      </c>
      <c r="AL392" s="70">
        <f t="shared" si="426"/>
        <v>11054.555999999999</v>
      </c>
      <c r="AN392" s="111" t="s">
        <v>130</v>
      </c>
      <c r="AO392" s="113">
        <f t="shared" ref="AO392:AW392" si="460">H392/H389</f>
        <v>0.13423227139936383</v>
      </c>
      <c r="AP392" s="113">
        <f t="shared" si="460"/>
        <v>0.1348100256135282</v>
      </c>
      <c r="AQ392" s="113">
        <f t="shared" si="460"/>
        <v>0.11633632172019834</v>
      </c>
      <c r="AR392" s="113">
        <f t="shared" si="460"/>
        <v>0.11697532842037808</v>
      </c>
      <c r="AS392" s="113">
        <f t="shared" si="460"/>
        <v>0.15231204220195285</v>
      </c>
      <c r="AT392" s="113">
        <f t="shared" si="460"/>
        <v>0.14496188610814703</v>
      </c>
      <c r="AU392" s="113">
        <f t="shared" si="460"/>
        <v>0.12865765191796619</v>
      </c>
      <c r="AV392" s="113">
        <f t="shared" si="460"/>
        <v>0.12104504398481862</v>
      </c>
      <c r="AW392" s="113">
        <f t="shared" si="460"/>
        <v>0.13014447146330996</v>
      </c>
      <c r="AY392" s="111" t="s">
        <v>130</v>
      </c>
      <c r="AZ392" s="179">
        <f t="shared" si="416"/>
        <v>1.6913266196319842E-2</v>
      </c>
      <c r="BA392" s="179">
        <f t="shared" si="417"/>
        <v>1.9682263739575115E-2</v>
      </c>
      <c r="BB392" s="179">
        <f t="shared" si="418"/>
        <v>1.7915793544910547E-2</v>
      </c>
      <c r="BC392" s="179">
        <f t="shared" si="419"/>
        <v>1.8482101890419739E-2</v>
      </c>
      <c r="BD392" s="179">
        <f t="shared" si="420"/>
        <v>2.3760678583504644E-2</v>
      </c>
      <c r="BE392" s="179">
        <f t="shared" si="421"/>
        <v>2.3193901777303527E-2</v>
      </c>
      <c r="BF392" s="179">
        <f t="shared" si="422"/>
        <v>2.0842539610710521E-2</v>
      </c>
      <c r="BG392" s="179">
        <f t="shared" si="423"/>
        <v>1.9367207037570978E-2</v>
      </c>
      <c r="BH392" s="179">
        <f t="shared" si="424"/>
        <v>2.1083404377056213E-2</v>
      </c>
    </row>
    <row r="393" spans="2:68" s="108" customFormat="1" x14ac:dyDescent="0.25">
      <c r="B393" s="107"/>
      <c r="E393" s="109" t="s">
        <v>4</v>
      </c>
      <c r="F393" s="110" t="s">
        <v>65</v>
      </c>
      <c r="G393" s="111" t="s">
        <v>131</v>
      </c>
      <c r="H393" s="112">
        <v>138374</v>
      </c>
      <c r="I393" s="112">
        <v>145074</v>
      </c>
      <c r="J393" s="112">
        <v>168688</v>
      </c>
      <c r="K393" s="112">
        <v>158820</v>
      </c>
      <c r="L393" s="112">
        <v>171862</v>
      </c>
      <c r="M393" s="112">
        <v>184423</v>
      </c>
      <c r="N393" s="112">
        <v>194697</v>
      </c>
      <c r="O393" s="112">
        <v>211529</v>
      </c>
      <c r="P393" s="112">
        <v>229902</v>
      </c>
      <c r="R393" s="111" t="s">
        <v>131</v>
      </c>
      <c r="S393" s="220">
        <v>4.2</v>
      </c>
      <c r="T393" s="220">
        <v>5.0999999999999996</v>
      </c>
      <c r="U393" s="220">
        <v>3.9</v>
      </c>
      <c r="V393" s="220">
        <v>3.7</v>
      </c>
      <c r="W393" s="220">
        <v>4.5</v>
      </c>
      <c r="X393" s="220">
        <v>4.2</v>
      </c>
      <c r="Y393" s="220">
        <v>3.4</v>
      </c>
      <c r="Z393" s="220">
        <v>4.2</v>
      </c>
      <c r="AA393" s="220">
        <v>4.4000000000000004</v>
      </c>
      <c r="AC393" s="111" t="s">
        <v>131</v>
      </c>
      <c r="AD393" s="112">
        <f t="shared" si="428"/>
        <v>11623.416000000001</v>
      </c>
      <c r="AE393" s="112">
        <f t="shared" si="409"/>
        <v>14797.547999999999</v>
      </c>
      <c r="AF393" s="112">
        <f t="shared" si="410"/>
        <v>13157.663999999999</v>
      </c>
      <c r="AG393" s="112">
        <f t="shared" si="411"/>
        <v>11752.68</v>
      </c>
      <c r="AH393" s="112">
        <f t="shared" si="412"/>
        <v>15467.58</v>
      </c>
      <c r="AI393" s="112">
        <f t="shared" si="413"/>
        <v>15491.531999999999</v>
      </c>
      <c r="AJ393" s="112">
        <f t="shared" si="414"/>
        <v>13239.395999999999</v>
      </c>
      <c r="AK393" s="112">
        <f t="shared" si="425"/>
        <v>17768.436000000002</v>
      </c>
      <c r="AL393" s="112">
        <f t="shared" si="426"/>
        <v>20231.376</v>
      </c>
      <c r="AN393" s="111" t="s">
        <v>131</v>
      </c>
      <c r="AO393" s="113">
        <f t="shared" ref="AO393:AW393" si="461">H393/H389</f>
        <v>0.30952966808784776</v>
      </c>
      <c r="AP393" s="113">
        <f t="shared" si="461"/>
        <v>0.32144091606030256</v>
      </c>
      <c r="AQ393" s="113">
        <f t="shared" si="461"/>
        <v>0.36653296423930853</v>
      </c>
      <c r="AR393" s="113">
        <f t="shared" si="461"/>
        <v>0.33925024030759371</v>
      </c>
      <c r="AS393" s="113">
        <f t="shared" si="461"/>
        <v>0.35651356772869935</v>
      </c>
      <c r="AT393" s="113">
        <f t="shared" si="461"/>
        <v>0.37200731818997845</v>
      </c>
      <c r="AU393" s="113">
        <f t="shared" si="461"/>
        <v>0.38642547946673655</v>
      </c>
      <c r="AV393" s="113">
        <f t="shared" si="461"/>
        <v>0.4148969764727804</v>
      </c>
      <c r="AW393" s="113">
        <f t="shared" si="461"/>
        <v>0.43847232155628668</v>
      </c>
      <c r="AY393" s="111" t="s">
        <v>131</v>
      </c>
      <c r="AZ393" s="179">
        <f t="shared" si="416"/>
        <v>2.6000492119379211E-2</v>
      </c>
      <c r="BA393" s="179">
        <f t="shared" si="417"/>
        <v>3.278697343815086E-2</v>
      </c>
      <c r="BB393" s="179">
        <f t="shared" si="418"/>
        <v>2.8589571210666066E-2</v>
      </c>
      <c r="BC393" s="179">
        <f t="shared" si="419"/>
        <v>2.5104517782761935E-2</v>
      </c>
      <c r="BD393" s="179">
        <f t="shared" si="420"/>
        <v>3.2086221095582942E-2</v>
      </c>
      <c r="BE393" s="179">
        <f t="shared" si="421"/>
        <v>3.1248614727958191E-2</v>
      </c>
      <c r="BF393" s="179">
        <f t="shared" si="422"/>
        <v>2.6276932603738087E-2</v>
      </c>
      <c r="BG393" s="179">
        <f t="shared" si="423"/>
        <v>3.4851346023713557E-2</v>
      </c>
      <c r="BH393" s="179">
        <f t="shared" si="424"/>
        <v>3.8585564296953229E-2</v>
      </c>
    </row>
    <row r="394" spans="2:68" s="87" customFormat="1" x14ac:dyDescent="0.25">
      <c r="B394" s="84"/>
      <c r="C394" s="85"/>
      <c r="D394" s="85"/>
      <c r="E394" s="109" t="s">
        <v>5</v>
      </c>
      <c r="F394" s="110" t="s">
        <v>65</v>
      </c>
      <c r="G394" s="195" t="s">
        <v>7</v>
      </c>
      <c r="H394" s="69">
        <v>460448</v>
      </c>
      <c r="I394" s="69">
        <v>463784</v>
      </c>
      <c r="J394" s="69">
        <v>475114</v>
      </c>
      <c r="K394" s="69">
        <v>481844</v>
      </c>
      <c r="L394" s="69">
        <v>494491</v>
      </c>
      <c r="M394" s="69">
        <v>506346</v>
      </c>
      <c r="N394" s="69">
        <v>514758</v>
      </c>
      <c r="O394" s="69">
        <v>521994</v>
      </c>
      <c r="P394" s="69">
        <v>532257</v>
      </c>
      <c r="R394" s="195" t="s">
        <v>7</v>
      </c>
      <c r="S394" s="226">
        <v>1.8</v>
      </c>
      <c r="T394" s="226">
        <v>1</v>
      </c>
      <c r="U394" s="226">
        <v>0.9</v>
      </c>
      <c r="V394" s="226">
        <v>0.9</v>
      </c>
      <c r="W394" s="226">
        <v>1.1000000000000001</v>
      </c>
      <c r="X394" s="226">
        <v>1.1000000000000001</v>
      </c>
      <c r="Y394" s="226">
        <v>0.9</v>
      </c>
      <c r="Z394" s="226">
        <v>0.9</v>
      </c>
      <c r="AA394" s="226">
        <v>0.9</v>
      </c>
      <c r="AC394" s="195" t="s">
        <v>7</v>
      </c>
      <c r="AD394" s="69">
        <f t="shared" si="428"/>
        <v>16576.128000000001</v>
      </c>
      <c r="AE394" s="69">
        <f t="shared" si="409"/>
        <v>9275.68</v>
      </c>
      <c r="AF394" s="69">
        <f t="shared" si="410"/>
        <v>8552.0520000000015</v>
      </c>
      <c r="AG394" s="69">
        <f t="shared" si="411"/>
        <v>8673.1920000000009</v>
      </c>
      <c r="AH394" s="69">
        <f t="shared" si="412"/>
        <v>10878.802000000001</v>
      </c>
      <c r="AI394" s="69">
        <f t="shared" si="413"/>
        <v>11139.612000000001</v>
      </c>
      <c r="AJ394" s="69">
        <f t="shared" si="414"/>
        <v>9265.6440000000002</v>
      </c>
      <c r="AK394" s="69">
        <f t="shared" si="425"/>
        <v>9395.8919999999998</v>
      </c>
      <c r="AL394" s="69">
        <f t="shared" si="426"/>
        <v>9580.6260000000002</v>
      </c>
      <c r="AN394" s="195" t="s">
        <v>7</v>
      </c>
      <c r="AO394" s="98">
        <f t="shared" ref="AO394:AW394" si="462">H394/H394</f>
        <v>1</v>
      </c>
      <c r="AP394" s="98">
        <f t="shared" si="462"/>
        <v>1</v>
      </c>
      <c r="AQ394" s="98">
        <f t="shared" si="462"/>
        <v>1</v>
      </c>
      <c r="AR394" s="98">
        <f t="shared" si="462"/>
        <v>1</v>
      </c>
      <c r="AS394" s="98">
        <f t="shared" si="462"/>
        <v>1</v>
      </c>
      <c r="AT394" s="98">
        <f t="shared" si="462"/>
        <v>1</v>
      </c>
      <c r="AU394" s="98">
        <f t="shared" si="462"/>
        <v>1</v>
      </c>
      <c r="AV394" s="98">
        <f t="shared" si="462"/>
        <v>1</v>
      </c>
      <c r="AW394" s="98">
        <f t="shared" si="462"/>
        <v>1</v>
      </c>
      <c r="AX394" s="191"/>
      <c r="AY394" s="195" t="s">
        <v>7</v>
      </c>
      <c r="AZ394" s="178">
        <f t="shared" si="416"/>
        <v>3.6000000000000004E-2</v>
      </c>
      <c r="BA394" s="178">
        <f t="shared" si="417"/>
        <v>0.02</v>
      </c>
      <c r="BB394" s="178">
        <f t="shared" si="418"/>
        <v>1.8000000000000002E-2</v>
      </c>
      <c r="BC394" s="178">
        <f t="shared" si="419"/>
        <v>1.8000000000000002E-2</v>
      </c>
      <c r="BD394" s="178">
        <f t="shared" si="420"/>
        <v>2.2000000000000002E-2</v>
      </c>
      <c r="BE394" s="178">
        <f t="shared" si="421"/>
        <v>2.2000000000000002E-2</v>
      </c>
      <c r="BF394" s="178">
        <f t="shared" si="422"/>
        <v>1.8000000000000002E-2</v>
      </c>
      <c r="BG394" s="178">
        <f t="shared" si="423"/>
        <v>1.8000000000000002E-2</v>
      </c>
      <c r="BH394" s="178">
        <f t="shared" si="424"/>
        <v>1.8000000000000002E-2</v>
      </c>
      <c r="BI394" s="191"/>
      <c r="BJ394" s="191"/>
      <c r="BK394" s="191"/>
      <c r="BL394" s="191"/>
      <c r="BM394" s="191"/>
      <c r="BN394" s="191"/>
      <c r="BO394" s="191"/>
      <c r="BP394" s="191"/>
    </row>
    <row r="395" spans="2:68" s="108" customFormat="1" x14ac:dyDescent="0.25">
      <c r="B395" s="107"/>
      <c r="E395" s="109" t="s">
        <v>5</v>
      </c>
      <c r="F395" s="110" t="s">
        <v>65</v>
      </c>
      <c r="G395" s="111" t="s">
        <v>54</v>
      </c>
      <c r="H395" s="112">
        <v>102985</v>
      </c>
      <c r="I395" s="112">
        <v>103265</v>
      </c>
      <c r="J395" s="112">
        <v>90743</v>
      </c>
      <c r="K395" s="112">
        <v>98682</v>
      </c>
      <c r="L395" s="112">
        <v>86257</v>
      </c>
      <c r="M395" s="112">
        <v>95391</v>
      </c>
      <c r="N395" s="112">
        <v>77740</v>
      </c>
      <c r="O395" s="112">
        <v>86806</v>
      </c>
      <c r="P395" s="112">
        <v>84408</v>
      </c>
      <c r="R395" s="111" t="s">
        <v>54</v>
      </c>
      <c r="S395" s="220">
        <v>4.7</v>
      </c>
      <c r="T395" s="220">
        <v>5.5</v>
      </c>
      <c r="U395" s="220">
        <v>5.4</v>
      </c>
      <c r="V395" s="220">
        <v>5.3</v>
      </c>
      <c r="W395" s="220">
        <v>6.9</v>
      </c>
      <c r="X395" s="220">
        <v>6.5</v>
      </c>
      <c r="Y395" s="220">
        <v>7</v>
      </c>
      <c r="Z395" s="220">
        <v>6.8</v>
      </c>
      <c r="AA395" s="220">
        <v>7.3</v>
      </c>
      <c r="AC395" s="111" t="s">
        <v>54</v>
      </c>
      <c r="AD395" s="112">
        <f t="shared" si="428"/>
        <v>9680.59</v>
      </c>
      <c r="AE395" s="112">
        <f t="shared" si="409"/>
        <v>11359.15</v>
      </c>
      <c r="AF395" s="112">
        <f t="shared" si="410"/>
        <v>9800.2440000000006</v>
      </c>
      <c r="AG395" s="112">
        <f t="shared" si="411"/>
        <v>10460.291999999999</v>
      </c>
      <c r="AH395" s="112">
        <f t="shared" si="412"/>
        <v>11903.466</v>
      </c>
      <c r="AI395" s="112">
        <f t="shared" si="413"/>
        <v>12400.83</v>
      </c>
      <c r="AJ395" s="112">
        <f t="shared" si="414"/>
        <v>10883.6</v>
      </c>
      <c r="AK395" s="112">
        <f t="shared" si="425"/>
        <v>11805.615999999998</v>
      </c>
      <c r="AL395" s="112">
        <f t="shared" si="426"/>
        <v>12323.568000000001</v>
      </c>
      <c r="AN395" s="111" t="s">
        <v>54</v>
      </c>
      <c r="AO395" s="113">
        <f t="shared" ref="AO395:AW395" si="463">H395/H394</f>
        <v>0.22366260685245673</v>
      </c>
      <c r="AP395" s="113">
        <f t="shared" si="463"/>
        <v>0.22265753022958965</v>
      </c>
      <c r="AQ395" s="113">
        <f t="shared" si="463"/>
        <v>0.19099205664324773</v>
      </c>
      <c r="AR395" s="113">
        <f t="shared" si="463"/>
        <v>0.20480072388573894</v>
      </c>
      <c r="AS395" s="113">
        <f t="shared" si="463"/>
        <v>0.17443593513329869</v>
      </c>
      <c r="AT395" s="113">
        <f t="shared" si="463"/>
        <v>0.18839094216207888</v>
      </c>
      <c r="AU395" s="113">
        <f t="shared" si="463"/>
        <v>0.15102242218673628</v>
      </c>
      <c r="AV395" s="113">
        <f t="shared" si="463"/>
        <v>0.16629693061606071</v>
      </c>
      <c r="AW395" s="113">
        <f t="shared" si="463"/>
        <v>0.15858504444281615</v>
      </c>
      <c r="AY395" s="111" t="s">
        <v>54</v>
      </c>
      <c r="AZ395" s="179">
        <f t="shared" si="416"/>
        <v>2.1024285044130932E-2</v>
      </c>
      <c r="BA395" s="179">
        <f t="shared" si="417"/>
        <v>2.4492328325254862E-2</v>
      </c>
      <c r="BB395" s="179">
        <f t="shared" si="418"/>
        <v>2.0627142117470756E-2</v>
      </c>
      <c r="BC395" s="179">
        <f t="shared" si="419"/>
        <v>2.1708876731888326E-2</v>
      </c>
      <c r="BD395" s="179">
        <f t="shared" si="420"/>
        <v>2.4072159048395218E-2</v>
      </c>
      <c r="BE395" s="179">
        <f t="shared" si="421"/>
        <v>2.4490822481070252E-2</v>
      </c>
      <c r="BF395" s="179">
        <f t="shared" si="422"/>
        <v>2.1143139106143082E-2</v>
      </c>
      <c r="BG395" s="179">
        <f t="shared" si="423"/>
        <v>2.2616382563784256E-2</v>
      </c>
      <c r="BH395" s="179">
        <f t="shared" si="424"/>
        <v>2.3153416488651161E-2</v>
      </c>
    </row>
    <row r="396" spans="2:68" s="108" customFormat="1" x14ac:dyDescent="0.25">
      <c r="B396" s="107"/>
      <c r="E396" s="109" t="s">
        <v>5</v>
      </c>
      <c r="F396" s="110" t="s">
        <v>65</v>
      </c>
      <c r="G396" s="111" t="s">
        <v>55</v>
      </c>
      <c r="H396" s="70">
        <v>96443</v>
      </c>
      <c r="I396" s="70">
        <v>100826</v>
      </c>
      <c r="J396" s="70">
        <v>114728</v>
      </c>
      <c r="K396" s="70">
        <v>107147</v>
      </c>
      <c r="L396" s="70">
        <v>109404</v>
      </c>
      <c r="M396" s="70">
        <v>108871</v>
      </c>
      <c r="N396" s="70">
        <v>119523</v>
      </c>
      <c r="O396" s="112">
        <v>119902</v>
      </c>
      <c r="P396" s="112">
        <v>101357</v>
      </c>
      <c r="R396" s="111" t="s">
        <v>55</v>
      </c>
      <c r="S396" s="81">
        <v>4.8</v>
      </c>
      <c r="T396" s="81">
        <v>5.5</v>
      </c>
      <c r="U396" s="81">
        <v>5.3</v>
      </c>
      <c r="V396" s="81">
        <v>5.4</v>
      </c>
      <c r="W396" s="81">
        <v>6.4</v>
      </c>
      <c r="X396" s="81">
        <v>6.7</v>
      </c>
      <c r="Y396" s="81">
        <v>5.3</v>
      </c>
      <c r="Z396" s="81">
        <v>6.2</v>
      </c>
      <c r="AA396" s="81">
        <v>6.5</v>
      </c>
      <c r="AC396" s="111" t="s">
        <v>55</v>
      </c>
      <c r="AD396" s="70">
        <f t="shared" si="428"/>
        <v>9258.5279999999984</v>
      </c>
      <c r="AE396" s="70">
        <f t="shared" si="409"/>
        <v>11090.86</v>
      </c>
      <c r="AF396" s="70">
        <f t="shared" si="410"/>
        <v>12161.168</v>
      </c>
      <c r="AG396" s="70">
        <f t="shared" si="411"/>
        <v>11571.876</v>
      </c>
      <c r="AH396" s="70">
        <f t="shared" si="412"/>
        <v>14003.712000000001</v>
      </c>
      <c r="AI396" s="70">
        <f t="shared" si="413"/>
        <v>14588.714000000002</v>
      </c>
      <c r="AJ396" s="70">
        <f t="shared" si="414"/>
        <v>12669.438</v>
      </c>
      <c r="AK396" s="70">
        <f t="shared" si="425"/>
        <v>14867.848</v>
      </c>
      <c r="AL396" s="70">
        <f t="shared" si="426"/>
        <v>13176.41</v>
      </c>
      <c r="AN396" s="111" t="s">
        <v>55</v>
      </c>
      <c r="AO396" s="113">
        <f t="shared" ref="AO396:AW396" si="464">H396/H394</f>
        <v>0.20945470498297311</v>
      </c>
      <c r="AP396" s="113">
        <f t="shared" si="464"/>
        <v>0.21739861659738155</v>
      </c>
      <c r="AQ396" s="113">
        <f t="shared" si="464"/>
        <v>0.24147467765630987</v>
      </c>
      <c r="AR396" s="113">
        <f t="shared" si="464"/>
        <v>0.22236865043458048</v>
      </c>
      <c r="AS396" s="113">
        <f t="shared" si="464"/>
        <v>0.22124568495685462</v>
      </c>
      <c r="AT396" s="113">
        <f t="shared" si="464"/>
        <v>0.2150130543146386</v>
      </c>
      <c r="AU396" s="113">
        <f t="shared" si="464"/>
        <v>0.23219260312612916</v>
      </c>
      <c r="AV396" s="113">
        <f t="shared" si="464"/>
        <v>0.22969995823706785</v>
      </c>
      <c r="AW396" s="113">
        <f t="shared" si="464"/>
        <v>0.19042868388767081</v>
      </c>
      <c r="AY396" s="111" t="s">
        <v>55</v>
      </c>
      <c r="AZ396" s="179">
        <f t="shared" si="416"/>
        <v>2.0107651678365417E-2</v>
      </c>
      <c r="BA396" s="179">
        <f t="shared" si="417"/>
        <v>2.3913847825711973E-2</v>
      </c>
      <c r="BB396" s="179">
        <f t="shared" si="418"/>
        <v>2.5596315831568846E-2</v>
      </c>
      <c r="BC396" s="179">
        <f t="shared" si="419"/>
        <v>2.4015814246934695E-2</v>
      </c>
      <c r="BD396" s="179">
        <f t="shared" si="420"/>
        <v>2.8319447674477392E-2</v>
      </c>
      <c r="BE396" s="179">
        <f t="shared" si="421"/>
        <v>2.8811749278161575E-2</v>
      </c>
      <c r="BF396" s="179">
        <f t="shared" si="422"/>
        <v>2.4612415931369692E-2</v>
      </c>
      <c r="BG396" s="179">
        <f t="shared" si="423"/>
        <v>2.8482794821396415E-2</v>
      </c>
      <c r="BH396" s="179">
        <f t="shared" si="424"/>
        <v>2.4755728905397206E-2</v>
      </c>
    </row>
    <row r="397" spans="2:68" s="108" customFormat="1" x14ac:dyDescent="0.25">
      <c r="B397" s="107"/>
      <c r="E397" s="109" t="s">
        <v>5</v>
      </c>
      <c r="F397" s="110" t="s">
        <v>65</v>
      </c>
      <c r="G397" s="111" t="s">
        <v>130</v>
      </c>
      <c r="H397" s="70">
        <v>58994</v>
      </c>
      <c r="I397" s="70">
        <v>66768</v>
      </c>
      <c r="J397" s="70">
        <v>53482</v>
      </c>
      <c r="K397" s="70">
        <v>55285</v>
      </c>
      <c r="L397" s="70">
        <v>72615</v>
      </c>
      <c r="M397" s="70">
        <v>63354</v>
      </c>
      <c r="N397" s="70">
        <v>68234</v>
      </c>
      <c r="O397" s="112">
        <v>62031</v>
      </c>
      <c r="P397" s="112">
        <v>64548</v>
      </c>
      <c r="R397" s="111" t="s">
        <v>130</v>
      </c>
      <c r="S397" s="220">
        <v>6.5</v>
      </c>
      <c r="T397" s="220">
        <v>7.5</v>
      </c>
      <c r="U397" s="220">
        <v>7.7</v>
      </c>
      <c r="V397" s="220">
        <v>7.5</v>
      </c>
      <c r="W397" s="220">
        <v>7.8</v>
      </c>
      <c r="X397" s="220">
        <v>8.6</v>
      </c>
      <c r="Y397" s="220">
        <v>7.8</v>
      </c>
      <c r="Z397" s="220">
        <v>8</v>
      </c>
      <c r="AA397" s="220">
        <v>8.4</v>
      </c>
      <c r="AC397" s="111" t="s">
        <v>130</v>
      </c>
      <c r="AD397" s="70">
        <f t="shared" si="428"/>
        <v>7669.22</v>
      </c>
      <c r="AE397" s="70">
        <f t="shared" si="409"/>
        <v>10015.200000000001</v>
      </c>
      <c r="AF397" s="70">
        <f t="shared" si="410"/>
        <v>8236.228000000001</v>
      </c>
      <c r="AG397" s="70">
        <f t="shared" si="411"/>
        <v>8292.75</v>
      </c>
      <c r="AH397" s="70">
        <f t="shared" si="412"/>
        <v>11327.94</v>
      </c>
      <c r="AI397" s="70">
        <f t="shared" si="413"/>
        <v>10896.888000000001</v>
      </c>
      <c r="AJ397" s="70">
        <f t="shared" si="414"/>
        <v>10644.503999999999</v>
      </c>
      <c r="AK397" s="70">
        <f t="shared" si="425"/>
        <v>9924.9599999999991</v>
      </c>
      <c r="AL397" s="70">
        <f t="shared" si="426"/>
        <v>10844.064000000002</v>
      </c>
      <c r="AN397" s="111" t="s">
        <v>130</v>
      </c>
      <c r="AO397" s="113">
        <f t="shared" ref="AO397:AW397" si="465">H397/H394</f>
        <v>0.12812304538188896</v>
      </c>
      <c r="AP397" s="113">
        <f t="shared" si="465"/>
        <v>0.14396356924775328</v>
      </c>
      <c r="AQ397" s="113">
        <f t="shared" si="465"/>
        <v>0.11256666821015587</v>
      </c>
      <c r="AR397" s="113">
        <f t="shared" si="465"/>
        <v>0.11473630469612572</v>
      </c>
      <c r="AS397" s="113">
        <f t="shared" si="465"/>
        <v>0.14684797094385946</v>
      </c>
      <c r="AT397" s="113">
        <f t="shared" si="465"/>
        <v>0.12511997724875876</v>
      </c>
      <c r="AU397" s="113">
        <f t="shared" si="465"/>
        <v>0.1325554920953147</v>
      </c>
      <c r="AV397" s="113">
        <f t="shared" si="465"/>
        <v>0.11883469924941666</v>
      </c>
      <c r="AW397" s="113">
        <f t="shared" si="465"/>
        <v>0.12127224254448508</v>
      </c>
      <c r="AY397" s="111" t="s">
        <v>130</v>
      </c>
      <c r="AZ397" s="179">
        <f t="shared" si="416"/>
        <v>1.6655995899645563E-2</v>
      </c>
      <c r="BA397" s="179">
        <f t="shared" si="417"/>
        <v>2.1594535387162991E-2</v>
      </c>
      <c r="BB397" s="179">
        <f t="shared" si="418"/>
        <v>1.7335266904364002E-2</v>
      </c>
      <c r="BC397" s="179">
        <f t="shared" si="419"/>
        <v>1.7210445704418858E-2</v>
      </c>
      <c r="BD397" s="179">
        <f t="shared" si="420"/>
        <v>2.2908283467242073E-2</v>
      </c>
      <c r="BE397" s="179">
        <f t="shared" si="421"/>
        <v>2.1520636086786508E-2</v>
      </c>
      <c r="BF397" s="179">
        <f t="shared" si="422"/>
        <v>2.0678656766869089E-2</v>
      </c>
      <c r="BG397" s="179">
        <f t="shared" si="423"/>
        <v>1.9013551879906665E-2</v>
      </c>
      <c r="BH397" s="179">
        <f t="shared" si="424"/>
        <v>2.0373736747473496E-2</v>
      </c>
    </row>
    <row r="398" spans="2:68" s="108" customFormat="1" x14ac:dyDescent="0.25">
      <c r="B398" s="107"/>
      <c r="E398" s="109" t="s">
        <v>5</v>
      </c>
      <c r="F398" s="110" t="s">
        <v>65</v>
      </c>
      <c r="G398" s="111" t="s">
        <v>131</v>
      </c>
      <c r="H398" s="112">
        <v>201337</v>
      </c>
      <c r="I398" s="112">
        <v>189185</v>
      </c>
      <c r="J398" s="112">
        <v>215215</v>
      </c>
      <c r="K398" s="112">
        <v>219040</v>
      </c>
      <c r="L398" s="112">
        <v>225111</v>
      </c>
      <c r="M398" s="112">
        <v>237279</v>
      </c>
      <c r="N398" s="112">
        <v>247838</v>
      </c>
      <c r="O398" s="112">
        <v>253255</v>
      </c>
      <c r="P398" s="112">
        <v>281945</v>
      </c>
      <c r="R398" s="111" t="s">
        <v>131</v>
      </c>
      <c r="S398" s="220">
        <v>3.1</v>
      </c>
      <c r="T398" s="220">
        <v>3.9</v>
      </c>
      <c r="U398" s="220">
        <v>3.3</v>
      </c>
      <c r="V398" s="220">
        <v>3.2</v>
      </c>
      <c r="W398" s="220">
        <v>3.1</v>
      </c>
      <c r="X398" s="220">
        <v>3.5</v>
      </c>
      <c r="Y398" s="220">
        <v>2.7</v>
      </c>
      <c r="Z398" s="220">
        <v>3.6</v>
      </c>
      <c r="AA398" s="220">
        <v>3.8</v>
      </c>
      <c r="AC398" s="111" t="s">
        <v>131</v>
      </c>
      <c r="AD398" s="112">
        <f t="shared" si="428"/>
        <v>12482.894000000002</v>
      </c>
      <c r="AE398" s="112">
        <f t="shared" si="409"/>
        <v>14756.43</v>
      </c>
      <c r="AF398" s="112">
        <f t="shared" si="410"/>
        <v>14204.19</v>
      </c>
      <c r="AG398" s="112">
        <f t="shared" si="411"/>
        <v>14018.56</v>
      </c>
      <c r="AH398" s="112">
        <f t="shared" si="412"/>
        <v>13956.882</v>
      </c>
      <c r="AI398" s="112">
        <f t="shared" si="413"/>
        <v>16609.53</v>
      </c>
      <c r="AJ398" s="112">
        <f t="shared" si="414"/>
        <v>13383.252000000002</v>
      </c>
      <c r="AK398" s="112">
        <f t="shared" si="425"/>
        <v>18234.36</v>
      </c>
      <c r="AL398" s="112">
        <f t="shared" si="426"/>
        <v>21427.82</v>
      </c>
      <c r="AN398" s="111" t="s">
        <v>131</v>
      </c>
      <c r="AO398" s="113">
        <f t="shared" ref="AO398:AW398" si="466">H398/H394</f>
        <v>0.43726327402877196</v>
      </c>
      <c r="AP398" s="113">
        <f t="shared" si="466"/>
        <v>0.40791618512065964</v>
      </c>
      <c r="AQ398" s="113">
        <f t="shared" si="466"/>
        <v>0.45297549640717805</v>
      </c>
      <c r="AR398" s="113">
        <f t="shared" si="466"/>
        <v>0.45458696175525687</v>
      </c>
      <c r="AS398" s="113">
        <f t="shared" si="466"/>
        <v>0.45523781019270321</v>
      </c>
      <c r="AT398" s="113">
        <f t="shared" si="466"/>
        <v>0.46861039684326528</v>
      </c>
      <c r="AU398" s="113">
        <f t="shared" si="466"/>
        <v>0.48146507679336698</v>
      </c>
      <c r="AV398" s="113">
        <f t="shared" si="466"/>
        <v>0.48516841189745474</v>
      </c>
      <c r="AW398" s="113">
        <f t="shared" si="466"/>
        <v>0.52971590791666434</v>
      </c>
      <c r="AY398" s="111" t="s">
        <v>131</v>
      </c>
      <c r="AZ398" s="179">
        <f t="shared" si="416"/>
        <v>2.7110322989783865E-2</v>
      </c>
      <c r="BA398" s="179">
        <f t="shared" si="417"/>
        <v>3.1817462439411449E-2</v>
      </c>
      <c r="BB398" s="179">
        <f t="shared" si="418"/>
        <v>2.9896382762873749E-2</v>
      </c>
      <c r="BC398" s="179">
        <f t="shared" si="419"/>
        <v>2.9093565552336442E-2</v>
      </c>
      <c r="BD398" s="179">
        <f t="shared" si="420"/>
        <v>2.82247442319476E-2</v>
      </c>
      <c r="BE398" s="179">
        <f t="shared" si="421"/>
        <v>3.2802727779028568E-2</v>
      </c>
      <c r="BF398" s="179">
        <f t="shared" si="422"/>
        <v>2.5999114146841817E-2</v>
      </c>
      <c r="BG398" s="179">
        <f t="shared" si="423"/>
        <v>3.4932125656616742E-2</v>
      </c>
      <c r="BH398" s="179">
        <f t="shared" si="424"/>
        <v>4.0258409001666481E-2</v>
      </c>
    </row>
    <row r="399" spans="2:68" x14ac:dyDescent="0.3">
      <c r="H399" s="122" t="s">
        <v>122</v>
      </c>
      <c r="I399" s="122">
        <v>2003</v>
      </c>
      <c r="J399" s="122">
        <v>2005</v>
      </c>
      <c r="K399" s="122" t="s">
        <v>123</v>
      </c>
      <c r="L399" s="122" t="s">
        <v>124</v>
      </c>
      <c r="M399" s="122" t="s">
        <v>125</v>
      </c>
      <c r="N399" s="122" t="s">
        <v>126</v>
      </c>
      <c r="O399" s="122" t="s">
        <v>127</v>
      </c>
      <c r="P399" s="122" t="s">
        <v>128</v>
      </c>
      <c r="R399" s="111"/>
      <c r="S399" s="120" t="s">
        <v>122</v>
      </c>
      <c r="T399" s="121">
        <v>2003</v>
      </c>
      <c r="U399" s="121">
        <v>2005</v>
      </c>
      <c r="V399" s="122" t="s">
        <v>123</v>
      </c>
      <c r="W399" s="122" t="s">
        <v>124</v>
      </c>
      <c r="X399" s="122" t="s">
        <v>125</v>
      </c>
      <c r="Y399" s="122" t="s">
        <v>126</v>
      </c>
      <c r="Z399" s="122" t="s">
        <v>127</v>
      </c>
      <c r="AA399" s="122" t="s">
        <v>128</v>
      </c>
      <c r="AC399" s="197" t="s">
        <v>8</v>
      </c>
      <c r="AD399" s="120" t="s">
        <v>122</v>
      </c>
      <c r="AE399" s="121">
        <v>2003</v>
      </c>
      <c r="AF399" s="121">
        <v>2005</v>
      </c>
      <c r="AG399" s="122" t="s">
        <v>123</v>
      </c>
      <c r="AH399" s="122" t="s">
        <v>124</v>
      </c>
      <c r="AI399" s="122" t="s">
        <v>125</v>
      </c>
      <c r="AJ399" s="122" t="s">
        <v>126</v>
      </c>
      <c r="AK399" s="122" t="s">
        <v>127</v>
      </c>
      <c r="AL399" s="122" t="s">
        <v>128</v>
      </c>
      <c r="AN399" s="197" t="s">
        <v>8</v>
      </c>
      <c r="AO399" s="120" t="s">
        <v>122</v>
      </c>
      <c r="AP399" s="121">
        <v>2003</v>
      </c>
      <c r="AQ399" s="121">
        <v>2005</v>
      </c>
      <c r="AR399" s="122" t="s">
        <v>123</v>
      </c>
      <c r="AS399" s="122" t="s">
        <v>124</v>
      </c>
      <c r="AT399" s="122" t="s">
        <v>125</v>
      </c>
      <c r="AU399" s="122" t="s">
        <v>126</v>
      </c>
      <c r="AV399" s="122" t="s">
        <v>127</v>
      </c>
      <c r="AW399" s="122" t="s">
        <v>128</v>
      </c>
      <c r="AY399" s="197" t="s">
        <v>8</v>
      </c>
      <c r="AZ399" s="120" t="s">
        <v>122</v>
      </c>
      <c r="BA399" s="121">
        <v>2003</v>
      </c>
      <c r="BB399" s="121">
        <v>2005</v>
      </c>
      <c r="BC399" s="122" t="s">
        <v>123</v>
      </c>
      <c r="BD399" s="122" t="s">
        <v>124</v>
      </c>
      <c r="BE399" s="122" t="s">
        <v>125</v>
      </c>
      <c r="BF399" s="122" t="s">
        <v>126</v>
      </c>
      <c r="BG399" s="122" t="s">
        <v>127</v>
      </c>
      <c r="BH399" s="122" t="s">
        <v>128</v>
      </c>
    </row>
    <row r="400" spans="2:68" s="87" customFormat="1" x14ac:dyDescent="0.25">
      <c r="B400" s="84"/>
      <c r="C400" s="85"/>
      <c r="D400" s="85"/>
      <c r="E400" s="109" t="s">
        <v>0</v>
      </c>
      <c r="F400" s="110" t="s">
        <v>66</v>
      </c>
      <c r="G400" s="195" t="s">
        <v>7</v>
      </c>
      <c r="H400" s="69">
        <v>116731</v>
      </c>
      <c r="I400" s="69">
        <v>113539</v>
      </c>
      <c r="J400" s="69">
        <v>107659</v>
      </c>
      <c r="K400" s="69">
        <v>105266</v>
      </c>
      <c r="L400" s="69">
        <v>103808</v>
      </c>
      <c r="M400" s="69">
        <v>101061</v>
      </c>
      <c r="N400" s="69">
        <v>99945</v>
      </c>
      <c r="O400" s="69">
        <v>95203</v>
      </c>
      <c r="P400" s="69">
        <v>101449</v>
      </c>
      <c r="R400" s="195" t="s">
        <v>7</v>
      </c>
      <c r="S400" s="226">
        <v>1.4</v>
      </c>
      <c r="T400" s="226">
        <v>1.5</v>
      </c>
      <c r="U400" s="226">
        <v>1.4</v>
      </c>
      <c r="V400" s="226">
        <v>1.4</v>
      </c>
      <c r="W400" s="226">
        <v>1.5</v>
      </c>
      <c r="X400" s="226">
        <v>1.5</v>
      </c>
      <c r="Y400" s="226">
        <v>1.8</v>
      </c>
      <c r="Z400" s="226">
        <v>2</v>
      </c>
      <c r="AA400" s="226">
        <v>1.8</v>
      </c>
      <c r="AC400" s="195" t="s">
        <v>7</v>
      </c>
      <c r="AD400" s="69">
        <f>2*(H400*S400/100)</f>
        <v>3268.4679999999998</v>
      </c>
      <c r="AE400" s="69">
        <f t="shared" ref="AE400:AE439" si="467">2*(I400*T400/100)</f>
        <v>3406.17</v>
      </c>
      <c r="AF400" s="69">
        <f t="shared" ref="AF400:AF439" si="468">2*(J400*U400/100)</f>
        <v>3014.4519999999993</v>
      </c>
      <c r="AG400" s="69">
        <f t="shared" ref="AG400:AG439" si="469">2*(K400*V400/100)</f>
        <v>2947.4479999999999</v>
      </c>
      <c r="AH400" s="69">
        <f t="shared" ref="AH400:AH439" si="470">2*(L400*W400/100)</f>
        <v>3114.24</v>
      </c>
      <c r="AI400" s="69">
        <f t="shared" ref="AI400:AI439" si="471">2*(M400*X400/100)</f>
        <v>3031.83</v>
      </c>
      <c r="AJ400" s="69">
        <f t="shared" ref="AJ400:AJ439" si="472">2*(N400*Y400/100)</f>
        <v>3598.02</v>
      </c>
      <c r="AK400" s="69">
        <f>2*(O400*Z400/100)</f>
        <v>3808.12</v>
      </c>
      <c r="AL400" s="69">
        <f>2*(P400*AA400/100)</f>
        <v>3652.1640000000002</v>
      </c>
      <c r="AN400" s="195" t="s">
        <v>7</v>
      </c>
      <c r="AO400" s="98">
        <f t="shared" ref="AO400:AW400" si="473">H400/H400</f>
        <v>1</v>
      </c>
      <c r="AP400" s="98">
        <f t="shared" si="473"/>
        <v>1</v>
      </c>
      <c r="AQ400" s="98">
        <f t="shared" si="473"/>
        <v>1</v>
      </c>
      <c r="AR400" s="98">
        <f t="shared" si="473"/>
        <v>1</v>
      </c>
      <c r="AS400" s="98">
        <f t="shared" si="473"/>
        <v>1</v>
      </c>
      <c r="AT400" s="98">
        <f t="shared" si="473"/>
        <v>1</v>
      </c>
      <c r="AU400" s="98">
        <f t="shared" si="473"/>
        <v>1</v>
      </c>
      <c r="AV400" s="98">
        <f t="shared" si="473"/>
        <v>1</v>
      </c>
      <c r="AW400" s="98">
        <f t="shared" si="473"/>
        <v>1</v>
      </c>
      <c r="AX400" s="191"/>
      <c r="AY400" s="195" t="s">
        <v>7</v>
      </c>
      <c r="AZ400" s="178">
        <f t="shared" ref="AZ400:AZ439" si="474">2*(S400*AO400/100)</f>
        <v>2.7999999999999997E-2</v>
      </c>
      <c r="BA400" s="178">
        <f t="shared" ref="BA400:BA439" si="475">2*(T400*AP400/100)</f>
        <v>0.03</v>
      </c>
      <c r="BB400" s="178">
        <f t="shared" ref="BB400:BB439" si="476">2*(U400*AQ400/100)</f>
        <v>2.7999999999999997E-2</v>
      </c>
      <c r="BC400" s="178">
        <f t="shared" ref="BC400:BC439" si="477">2*(V400*AR400/100)</f>
        <v>2.7999999999999997E-2</v>
      </c>
      <c r="BD400" s="178">
        <f t="shared" ref="BD400:BD439" si="478">2*(W400*AS400/100)</f>
        <v>0.03</v>
      </c>
      <c r="BE400" s="178">
        <f t="shared" ref="BE400:BE439" si="479">2*(X400*AT400/100)</f>
        <v>0.03</v>
      </c>
      <c r="BF400" s="178">
        <f t="shared" ref="BF400:BF439" si="480">2*(Y400*AU400/100)</f>
        <v>3.6000000000000004E-2</v>
      </c>
      <c r="BG400" s="178">
        <f t="shared" ref="BG400:BG439" si="481">2*(Z400*AV400/100)</f>
        <v>0.04</v>
      </c>
      <c r="BH400" s="178">
        <f t="shared" ref="BH400:BH439" si="482">2*(AA400*AW400/100)</f>
        <v>3.6000000000000004E-2</v>
      </c>
      <c r="BI400" s="191"/>
      <c r="BJ400" s="191"/>
      <c r="BK400" s="191"/>
      <c r="BL400" s="191"/>
      <c r="BM400" s="191"/>
      <c r="BN400" s="191"/>
      <c r="BO400" s="191"/>
      <c r="BP400" s="191"/>
    </row>
    <row r="401" spans="2:68" s="108" customFormat="1" x14ac:dyDescent="0.25">
      <c r="B401" s="107"/>
      <c r="E401" s="109" t="s">
        <v>0</v>
      </c>
      <c r="F401" s="110" t="s">
        <v>66</v>
      </c>
      <c r="G401" s="111" t="s">
        <v>54</v>
      </c>
      <c r="H401" s="112">
        <v>24046</v>
      </c>
      <c r="I401" s="112">
        <v>17381</v>
      </c>
      <c r="J401" s="112">
        <v>14122</v>
      </c>
      <c r="K401" s="112">
        <v>19034</v>
      </c>
      <c r="L401" s="112">
        <v>13400</v>
      </c>
      <c r="M401" s="112">
        <v>11995</v>
      </c>
      <c r="N401" s="112">
        <v>10005</v>
      </c>
      <c r="O401" s="112">
        <v>7857</v>
      </c>
      <c r="P401" s="112" t="s">
        <v>129</v>
      </c>
      <c r="R401" s="111" t="s">
        <v>54</v>
      </c>
      <c r="S401" s="220">
        <v>7.8</v>
      </c>
      <c r="T401" s="220">
        <v>10.6</v>
      </c>
      <c r="U401" s="220">
        <v>11</v>
      </c>
      <c r="V401" s="220">
        <v>9.4</v>
      </c>
      <c r="W401" s="220">
        <v>13.9</v>
      </c>
      <c r="X401" s="220">
        <v>16.600000000000001</v>
      </c>
      <c r="Y401" s="220">
        <v>15.9</v>
      </c>
      <c r="Z401" s="220">
        <v>23.2</v>
      </c>
      <c r="AA401" s="220" t="s">
        <v>129</v>
      </c>
      <c r="AC401" s="111" t="s">
        <v>54</v>
      </c>
      <c r="AD401" s="112">
        <f>2*(H401*S401/100)</f>
        <v>3751.1759999999999</v>
      </c>
      <c r="AE401" s="112">
        <f t="shared" si="467"/>
        <v>3684.7719999999999</v>
      </c>
      <c r="AF401" s="112">
        <f t="shared" si="468"/>
        <v>3106.84</v>
      </c>
      <c r="AG401" s="112">
        <f t="shared" si="469"/>
        <v>3578.3920000000003</v>
      </c>
      <c r="AH401" s="112">
        <f t="shared" si="470"/>
        <v>3725.2</v>
      </c>
      <c r="AI401" s="112">
        <f t="shared" si="471"/>
        <v>3982.3400000000006</v>
      </c>
      <c r="AJ401" s="112">
        <f t="shared" si="472"/>
        <v>3181.59</v>
      </c>
      <c r="AK401" s="112">
        <f t="shared" ref="AK401:AK439" si="483">2*(O401*Z401/100)</f>
        <v>3645.6479999999997</v>
      </c>
      <c r="AL401" s="112" t="e">
        <f t="shared" ref="AL401:AL439" si="484">2*(P401*AA401/100)</f>
        <v>#VALUE!</v>
      </c>
      <c r="AN401" s="111" t="s">
        <v>54</v>
      </c>
      <c r="AO401" s="113">
        <f t="shared" ref="AO401:AW401" si="485">H401/H400</f>
        <v>0.2059949799110776</v>
      </c>
      <c r="AP401" s="113">
        <f t="shared" si="485"/>
        <v>0.15308396233893198</v>
      </c>
      <c r="AQ401" s="113">
        <f t="shared" si="485"/>
        <v>0.13117342720998709</v>
      </c>
      <c r="AR401" s="113">
        <f t="shared" si="485"/>
        <v>0.18081811791081639</v>
      </c>
      <c r="AS401" s="113">
        <f t="shared" si="485"/>
        <v>0.12908446362515413</v>
      </c>
      <c r="AT401" s="113">
        <f t="shared" si="485"/>
        <v>0.11869069176042192</v>
      </c>
      <c r="AU401" s="113">
        <f t="shared" si="485"/>
        <v>0.10010505778177999</v>
      </c>
      <c r="AV401" s="113">
        <f t="shared" si="485"/>
        <v>8.2528911904036634E-2</v>
      </c>
      <c r="AW401" s="113" t="e">
        <f t="shared" si="485"/>
        <v>#VALUE!</v>
      </c>
      <c r="AY401" s="111" t="s">
        <v>54</v>
      </c>
      <c r="AZ401" s="179">
        <f t="shared" si="474"/>
        <v>3.2135216866128101E-2</v>
      </c>
      <c r="BA401" s="179">
        <f t="shared" si="475"/>
        <v>3.245380001585358E-2</v>
      </c>
      <c r="BB401" s="179">
        <f t="shared" si="476"/>
        <v>2.885815398619716E-2</v>
      </c>
      <c r="BC401" s="179">
        <f t="shared" si="477"/>
        <v>3.3993806167233485E-2</v>
      </c>
      <c r="BD401" s="179">
        <f t="shared" si="478"/>
        <v>3.5885480887792851E-2</v>
      </c>
      <c r="BE401" s="179">
        <f t="shared" si="479"/>
        <v>3.9405309664460077E-2</v>
      </c>
      <c r="BF401" s="179">
        <f t="shared" si="480"/>
        <v>3.1833408374606041E-2</v>
      </c>
      <c r="BG401" s="179">
        <f t="shared" si="481"/>
        <v>3.8293415123472993E-2</v>
      </c>
      <c r="BH401" s="179" t="e">
        <f t="shared" si="482"/>
        <v>#VALUE!</v>
      </c>
    </row>
    <row r="402" spans="2:68" s="108" customFormat="1" x14ac:dyDescent="0.25">
      <c r="B402" s="107"/>
      <c r="E402" s="109" t="s">
        <v>0</v>
      </c>
      <c r="F402" s="110" t="s">
        <v>66</v>
      </c>
      <c r="G402" s="111" t="s">
        <v>55</v>
      </c>
      <c r="H402" s="70">
        <v>3826</v>
      </c>
      <c r="I402" s="112" t="s">
        <v>129</v>
      </c>
      <c r="J402" s="112" t="s">
        <v>129</v>
      </c>
      <c r="K402" s="112" t="s">
        <v>129</v>
      </c>
      <c r="L402" s="112" t="s">
        <v>129</v>
      </c>
      <c r="M402" s="112" t="s">
        <v>129</v>
      </c>
      <c r="N402" s="112" t="s">
        <v>129</v>
      </c>
      <c r="O402" s="112" t="s">
        <v>129</v>
      </c>
      <c r="P402" s="112" t="s">
        <v>129</v>
      </c>
      <c r="R402" s="111" t="s">
        <v>55</v>
      </c>
      <c r="S402" s="81">
        <v>24.5</v>
      </c>
      <c r="T402" s="81" t="s">
        <v>129</v>
      </c>
      <c r="U402" s="81" t="s">
        <v>129</v>
      </c>
      <c r="V402" s="81" t="s">
        <v>129</v>
      </c>
      <c r="W402" s="81" t="s">
        <v>129</v>
      </c>
      <c r="X402" s="81" t="s">
        <v>129</v>
      </c>
      <c r="Y402" s="81" t="s">
        <v>129</v>
      </c>
      <c r="Z402" s="81" t="s">
        <v>129</v>
      </c>
      <c r="AA402" s="81" t="s">
        <v>129</v>
      </c>
      <c r="AC402" s="111" t="s">
        <v>55</v>
      </c>
      <c r="AD402" s="70">
        <f t="shared" ref="AD402:AD439" si="486">2*(H402*S402/100)</f>
        <v>1874.74</v>
      </c>
      <c r="AE402" s="70" t="e">
        <f t="shared" si="467"/>
        <v>#VALUE!</v>
      </c>
      <c r="AF402" s="70" t="e">
        <f t="shared" si="468"/>
        <v>#VALUE!</v>
      </c>
      <c r="AG402" s="70" t="e">
        <f t="shared" si="469"/>
        <v>#VALUE!</v>
      </c>
      <c r="AH402" s="70" t="e">
        <f t="shared" si="470"/>
        <v>#VALUE!</v>
      </c>
      <c r="AI402" s="70" t="e">
        <f t="shared" si="471"/>
        <v>#VALUE!</v>
      </c>
      <c r="AJ402" s="70" t="e">
        <f t="shared" si="472"/>
        <v>#VALUE!</v>
      </c>
      <c r="AK402" s="70" t="e">
        <f t="shared" si="483"/>
        <v>#VALUE!</v>
      </c>
      <c r="AL402" s="70" t="e">
        <f t="shared" si="484"/>
        <v>#VALUE!</v>
      </c>
      <c r="AN402" s="111" t="s">
        <v>55</v>
      </c>
      <c r="AO402" s="113">
        <f t="shared" ref="AO402:AW402" si="487">H402/H400</f>
        <v>3.2776211974539754E-2</v>
      </c>
      <c r="AP402" s="113" t="e">
        <f t="shared" si="487"/>
        <v>#VALUE!</v>
      </c>
      <c r="AQ402" s="113" t="e">
        <f t="shared" si="487"/>
        <v>#VALUE!</v>
      </c>
      <c r="AR402" s="113" t="e">
        <f t="shared" si="487"/>
        <v>#VALUE!</v>
      </c>
      <c r="AS402" s="113" t="e">
        <f t="shared" si="487"/>
        <v>#VALUE!</v>
      </c>
      <c r="AT402" s="113" t="e">
        <f t="shared" si="487"/>
        <v>#VALUE!</v>
      </c>
      <c r="AU402" s="113" t="e">
        <f t="shared" si="487"/>
        <v>#VALUE!</v>
      </c>
      <c r="AV402" s="113" t="e">
        <f t="shared" si="487"/>
        <v>#VALUE!</v>
      </c>
      <c r="AW402" s="113" t="e">
        <f t="shared" si="487"/>
        <v>#VALUE!</v>
      </c>
      <c r="AY402" s="111" t="s">
        <v>55</v>
      </c>
      <c r="AZ402" s="179">
        <f t="shared" si="474"/>
        <v>1.6060343867524481E-2</v>
      </c>
      <c r="BA402" s="179" t="e">
        <f t="shared" si="475"/>
        <v>#VALUE!</v>
      </c>
      <c r="BB402" s="179" t="e">
        <f t="shared" si="476"/>
        <v>#VALUE!</v>
      </c>
      <c r="BC402" s="179" t="e">
        <f t="shared" si="477"/>
        <v>#VALUE!</v>
      </c>
      <c r="BD402" s="179" t="e">
        <f t="shared" si="478"/>
        <v>#VALUE!</v>
      </c>
      <c r="BE402" s="179" t="e">
        <f t="shared" si="479"/>
        <v>#VALUE!</v>
      </c>
      <c r="BF402" s="179" t="e">
        <f t="shared" si="480"/>
        <v>#VALUE!</v>
      </c>
      <c r="BG402" s="179" t="e">
        <f t="shared" si="481"/>
        <v>#VALUE!</v>
      </c>
      <c r="BH402" s="179" t="e">
        <f t="shared" si="482"/>
        <v>#VALUE!</v>
      </c>
    </row>
    <row r="403" spans="2:68" s="108" customFormat="1" x14ac:dyDescent="0.25">
      <c r="B403" s="107"/>
      <c r="E403" s="109" t="s">
        <v>0</v>
      </c>
      <c r="F403" s="110" t="s">
        <v>66</v>
      </c>
      <c r="G403" s="111" t="s">
        <v>130</v>
      </c>
      <c r="H403" s="70">
        <v>14189</v>
      </c>
      <c r="I403" s="70">
        <v>13612</v>
      </c>
      <c r="J403" s="70">
        <v>10004</v>
      </c>
      <c r="K403" s="70">
        <v>10748</v>
      </c>
      <c r="L403" s="70">
        <v>9662</v>
      </c>
      <c r="M403" s="70">
        <v>5902</v>
      </c>
      <c r="N403" s="70">
        <v>7562</v>
      </c>
      <c r="O403" s="112" t="s">
        <v>129</v>
      </c>
      <c r="P403" s="112">
        <v>9904</v>
      </c>
      <c r="R403" s="111" t="s">
        <v>130</v>
      </c>
      <c r="S403" s="220">
        <v>10.9</v>
      </c>
      <c r="T403" s="220">
        <v>12.5</v>
      </c>
      <c r="U403" s="220">
        <v>13.5</v>
      </c>
      <c r="V403" s="220">
        <v>13.4</v>
      </c>
      <c r="W403" s="220">
        <v>17.2</v>
      </c>
      <c r="X403" s="220">
        <v>25.3</v>
      </c>
      <c r="Y403" s="220">
        <v>20.7</v>
      </c>
      <c r="Z403" s="220" t="s">
        <v>129</v>
      </c>
      <c r="AA403" s="220">
        <v>20.6</v>
      </c>
      <c r="AC403" s="111" t="s">
        <v>130</v>
      </c>
      <c r="AD403" s="70">
        <f t="shared" si="486"/>
        <v>3093.2020000000002</v>
      </c>
      <c r="AE403" s="70">
        <f t="shared" si="467"/>
        <v>3403</v>
      </c>
      <c r="AF403" s="70">
        <f t="shared" si="468"/>
        <v>2701.08</v>
      </c>
      <c r="AG403" s="70">
        <f t="shared" si="469"/>
        <v>2880.4640000000004</v>
      </c>
      <c r="AH403" s="70">
        <f t="shared" si="470"/>
        <v>3323.7280000000001</v>
      </c>
      <c r="AI403" s="70">
        <f t="shared" si="471"/>
        <v>2986.4120000000003</v>
      </c>
      <c r="AJ403" s="70">
        <f t="shared" si="472"/>
        <v>3130.6679999999997</v>
      </c>
      <c r="AK403" s="70" t="e">
        <f t="shared" si="483"/>
        <v>#VALUE!</v>
      </c>
      <c r="AL403" s="70">
        <f t="shared" si="484"/>
        <v>4080.4480000000003</v>
      </c>
      <c r="AN403" s="111" t="s">
        <v>130</v>
      </c>
      <c r="AO403" s="113">
        <f t="shared" ref="AO403:AW403" si="488">H403/H400</f>
        <v>0.12155297221817683</v>
      </c>
      <c r="AP403" s="113">
        <f t="shared" si="488"/>
        <v>0.11988832031284405</v>
      </c>
      <c r="AQ403" s="113">
        <f t="shared" si="488"/>
        <v>9.2923025478594448E-2</v>
      </c>
      <c r="AR403" s="113">
        <f t="shared" si="488"/>
        <v>0.10210324321243326</v>
      </c>
      <c r="AS403" s="113">
        <f t="shared" si="488"/>
        <v>9.3075678175092477E-2</v>
      </c>
      <c r="AT403" s="113">
        <f t="shared" si="488"/>
        <v>5.8400372052522735E-2</v>
      </c>
      <c r="AU403" s="113">
        <f t="shared" si="488"/>
        <v>7.5661613887638202E-2</v>
      </c>
      <c r="AV403" s="113" t="e">
        <f t="shared" si="488"/>
        <v>#VALUE!</v>
      </c>
      <c r="AW403" s="113">
        <f t="shared" si="488"/>
        <v>9.7625407840392711E-2</v>
      </c>
      <c r="AY403" s="111" t="s">
        <v>130</v>
      </c>
      <c r="AZ403" s="179">
        <f t="shared" si="474"/>
        <v>2.6498547943562548E-2</v>
      </c>
      <c r="BA403" s="179">
        <f t="shared" si="475"/>
        <v>2.9972080078211012E-2</v>
      </c>
      <c r="BB403" s="179">
        <f t="shared" si="476"/>
        <v>2.5089216879220499E-2</v>
      </c>
      <c r="BC403" s="179">
        <f t="shared" si="477"/>
        <v>2.7363669180932117E-2</v>
      </c>
      <c r="BD403" s="179">
        <f t="shared" si="478"/>
        <v>3.2018033292231809E-2</v>
      </c>
      <c r="BE403" s="179">
        <f t="shared" si="479"/>
        <v>2.9550588258576503E-2</v>
      </c>
      <c r="BF403" s="179">
        <f t="shared" si="480"/>
        <v>3.1323908149482216E-2</v>
      </c>
      <c r="BG403" s="179" t="e">
        <f t="shared" si="481"/>
        <v>#VALUE!</v>
      </c>
      <c r="BH403" s="179">
        <f t="shared" si="482"/>
        <v>4.0221668030241797E-2</v>
      </c>
    </row>
    <row r="404" spans="2:68" s="108" customFormat="1" x14ac:dyDescent="0.25">
      <c r="B404" s="107"/>
      <c r="E404" s="109" t="s">
        <v>0</v>
      </c>
      <c r="F404" s="110" t="s">
        <v>66</v>
      </c>
      <c r="G404" s="111" t="s">
        <v>131</v>
      </c>
      <c r="H404" s="112">
        <v>74642</v>
      </c>
      <c r="I404" s="112">
        <v>79558</v>
      </c>
      <c r="J404" s="112">
        <v>80479</v>
      </c>
      <c r="K404" s="112">
        <v>73853</v>
      </c>
      <c r="L404" s="112">
        <v>77274</v>
      </c>
      <c r="M404" s="112">
        <v>81928</v>
      </c>
      <c r="N404" s="112">
        <v>80118</v>
      </c>
      <c r="O404" s="112">
        <v>80179</v>
      </c>
      <c r="P404" s="112">
        <v>81150</v>
      </c>
      <c r="R404" s="111" t="s">
        <v>131</v>
      </c>
      <c r="S404" s="220">
        <v>4.9000000000000004</v>
      </c>
      <c r="T404" s="220">
        <v>3</v>
      </c>
      <c r="U404" s="220">
        <v>3.6</v>
      </c>
      <c r="V404" s="220">
        <v>2.9</v>
      </c>
      <c r="W404" s="220">
        <v>3.3</v>
      </c>
      <c r="X404" s="220">
        <v>3.6</v>
      </c>
      <c r="Y404" s="220">
        <v>3.4</v>
      </c>
      <c r="Z404" s="220">
        <v>2.2000000000000002</v>
      </c>
      <c r="AA404" s="220">
        <v>4</v>
      </c>
      <c r="AC404" s="111" t="s">
        <v>131</v>
      </c>
      <c r="AD404" s="112">
        <f t="shared" si="486"/>
        <v>7314.9160000000011</v>
      </c>
      <c r="AE404" s="112">
        <f t="shared" si="467"/>
        <v>4773.4799999999996</v>
      </c>
      <c r="AF404" s="112">
        <f t="shared" si="468"/>
        <v>5794.4880000000003</v>
      </c>
      <c r="AG404" s="112">
        <f t="shared" si="469"/>
        <v>4283.4739999999993</v>
      </c>
      <c r="AH404" s="112">
        <f t="shared" si="470"/>
        <v>5100.0839999999998</v>
      </c>
      <c r="AI404" s="112">
        <f t="shared" si="471"/>
        <v>5898.8159999999998</v>
      </c>
      <c r="AJ404" s="112">
        <f t="shared" si="472"/>
        <v>5448.0240000000003</v>
      </c>
      <c r="AK404" s="112">
        <f t="shared" si="483"/>
        <v>3527.8760000000002</v>
      </c>
      <c r="AL404" s="112">
        <f t="shared" si="484"/>
        <v>6492</v>
      </c>
      <c r="AN404" s="111" t="s">
        <v>131</v>
      </c>
      <c r="AO404" s="113">
        <f t="shared" ref="AO404:AW404" si="489">H404/H400</f>
        <v>0.63943596816612558</v>
      </c>
      <c r="AP404" s="113">
        <f t="shared" si="489"/>
        <v>0.7007107689868679</v>
      </c>
      <c r="AQ404" s="113">
        <f t="shared" si="489"/>
        <v>0.747536202268273</v>
      </c>
      <c r="AR404" s="113">
        <f t="shared" si="489"/>
        <v>0.70158455721695512</v>
      </c>
      <c r="AS404" s="113">
        <f t="shared" si="489"/>
        <v>0.74439349568434032</v>
      </c>
      <c r="AT404" s="113">
        <f t="shared" si="489"/>
        <v>0.81067869900357215</v>
      </c>
      <c r="AU404" s="113">
        <f t="shared" si="489"/>
        <v>0.80162089149031968</v>
      </c>
      <c r="AV404" s="113">
        <f t="shared" si="489"/>
        <v>0.84218984695860422</v>
      </c>
      <c r="AW404" s="113">
        <f t="shared" si="489"/>
        <v>0.79990931403956667</v>
      </c>
      <c r="AY404" s="111" t="s">
        <v>131</v>
      </c>
      <c r="AZ404" s="179">
        <f t="shared" si="474"/>
        <v>6.2664724880280312E-2</v>
      </c>
      <c r="BA404" s="179">
        <f t="shared" si="475"/>
        <v>4.2042646139212075E-2</v>
      </c>
      <c r="BB404" s="179">
        <f t="shared" si="476"/>
        <v>5.3822606563315653E-2</v>
      </c>
      <c r="BC404" s="179">
        <f t="shared" si="477"/>
        <v>4.069190431858339E-2</v>
      </c>
      <c r="BD404" s="179">
        <f t="shared" si="478"/>
        <v>4.9129970715166456E-2</v>
      </c>
      <c r="BE404" s="179">
        <f t="shared" si="479"/>
        <v>5.8368866328257198E-2</v>
      </c>
      <c r="BF404" s="179">
        <f t="shared" si="480"/>
        <v>5.4510220621341733E-2</v>
      </c>
      <c r="BG404" s="179">
        <f t="shared" si="481"/>
        <v>3.7056353266178593E-2</v>
      </c>
      <c r="BH404" s="179">
        <f t="shared" si="482"/>
        <v>6.3992745123165329E-2</v>
      </c>
    </row>
    <row r="405" spans="2:68" s="87" customFormat="1" x14ac:dyDescent="0.25">
      <c r="B405" s="84"/>
      <c r="C405" s="85"/>
      <c r="D405" s="85"/>
      <c r="E405" s="109" t="s">
        <v>1</v>
      </c>
      <c r="F405" s="110" t="s">
        <v>66</v>
      </c>
      <c r="G405" s="195" t="s">
        <v>7</v>
      </c>
      <c r="H405" s="69">
        <v>132308</v>
      </c>
      <c r="I405" s="69">
        <v>130515</v>
      </c>
      <c r="J405" s="69">
        <v>130027</v>
      </c>
      <c r="K405" s="69">
        <v>132910</v>
      </c>
      <c r="L405" s="69">
        <v>139970</v>
      </c>
      <c r="M405" s="69">
        <v>144022</v>
      </c>
      <c r="N405" s="69">
        <v>151917</v>
      </c>
      <c r="O405" s="69">
        <v>143031</v>
      </c>
      <c r="P405" s="69">
        <v>137910</v>
      </c>
      <c r="R405" s="195" t="s">
        <v>7</v>
      </c>
      <c r="S405" s="226">
        <v>1.2</v>
      </c>
      <c r="T405" s="226">
        <v>1.2</v>
      </c>
      <c r="U405" s="226">
        <v>1.3</v>
      </c>
      <c r="V405" s="226">
        <v>1.3</v>
      </c>
      <c r="W405" s="226">
        <v>1.5</v>
      </c>
      <c r="X405" s="226">
        <v>1.6</v>
      </c>
      <c r="Y405" s="226">
        <v>1.4</v>
      </c>
      <c r="Z405" s="226">
        <v>1.8</v>
      </c>
      <c r="AA405" s="226">
        <v>1.7</v>
      </c>
      <c r="AC405" s="195" t="s">
        <v>7</v>
      </c>
      <c r="AD405" s="69">
        <f t="shared" si="486"/>
        <v>3175.3920000000003</v>
      </c>
      <c r="AE405" s="69">
        <f t="shared" si="467"/>
        <v>3132.36</v>
      </c>
      <c r="AF405" s="69">
        <f t="shared" si="468"/>
        <v>3380.7020000000002</v>
      </c>
      <c r="AG405" s="69">
        <f t="shared" si="469"/>
        <v>3455.66</v>
      </c>
      <c r="AH405" s="69">
        <f t="shared" si="470"/>
        <v>4199.1000000000004</v>
      </c>
      <c r="AI405" s="69">
        <f t="shared" si="471"/>
        <v>4608.7040000000006</v>
      </c>
      <c r="AJ405" s="69">
        <f t="shared" si="472"/>
        <v>4253.6759999999995</v>
      </c>
      <c r="AK405" s="69">
        <f t="shared" si="483"/>
        <v>5149.116</v>
      </c>
      <c r="AL405" s="69">
        <f t="shared" si="484"/>
        <v>4688.9399999999996</v>
      </c>
      <c r="AN405" s="195" t="s">
        <v>7</v>
      </c>
      <c r="AO405" s="98">
        <f t="shared" ref="AO405:AW405" si="490">H405/H405</f>
        <v>1</v>
      </c>
      <c r="AP405" s="98">
        <f t="shared" si="490"/>
        <v>1</v>
      </c>
      <c r="AQ405" s="98">
        <f t="shared" si="490"/>
        <v>1</v>
      </c>
      <c r="AR405" s="98">
        <f t="shared" si="490"/>
        <v>1</v>
      </c>
      <c r="AS405" s="98">
        <f t="shared" si="490"/>
        <v>1</v>
      </c>
      <c r="AT405" s="98">
        <f t="shared" si="490"/>
        <v>1</v>
      </c>
      <c r="AU405" s="98">
        <f t="shared" si="490"/>
        <v>1</v>
      </c>
      <c r="AV405" s="98">
        <f t="shared" si="490"/>
        <v>1</v>
      </c>
      <c r="AW405" s="98">
        <f t="shared" si="490"/>
        <v>1</v>
      </c>
      <c r="AX405" s="191"/>
      <c r="AY405" s="195" t="s">
        <v>7</v>
      </c>
      <c r="AZ405" s="178">
        <f t="shared" si="474"/>
        <v>2.4E-2</v>
      </c>
      <c r="BA405" s="178">
        <f t="shared" si="475"/>
        <v>2.4E-2</v>
      </c>
      <c r="BB405" s="178">
        <f t="shared" si="476"/>
        <v>2.6000000000000002E-2</v>
      </c>
      <c r="BC405" s="178">
        <f t="shared" si="477"/>
        <v>2.6000000000000002E-2</v>
      </c>
      <c r="BD405" s="178">
        <f t="shared" si="478"/>
        <v>0.03</v>
      </c>
      <c r="BE405" s="178">
        <f t="shared" si="479"/>
        <v>3.2000000000000001E-2</v>
      </c>
      <c r="BF405" s="178">
        <f t="shared" si="480"/>
        <v>2.7999999999999997E-2</v>
      </c>
      <c r="BG405" s="178">
        <f t="shared" si="481"/>
        <v>3.6000000000000004E-2</v>
      </c>
      <c r="BH405" s="178">
        <f t="shared" si="482"/>
        <v>3.4000000000000002E-2</v>
      </c>
      <c r="BI405" s="191"/>
      <c r="BJ405" s="191"/>
      <c r="BK405" s="191"/>
      <c r="BL405" s="191"/>
      <c r="BM405" s="191"/>
      <c r="BN405" s="191"/>
      <c r="BO405" s="191"/>
      <c r="BP405" s="191"/>
    </row>
    <row r="406" spans="2:68" s="108" customFormat="1" x14ac:dyDescent="0.25">
      <c r="B406" s="107"/>
      <c r="E406" s="109" t="s">
        <v>1</v>
      </c>
      <c r="F406" s="110" t="s">
        <v>66</v>
      </c>
      <c r="G406" s="111" t="s">
        <v>54</v>
      </c>
      <c r="H406" s="112">
        <v>49772</v>
      </c>
      <c r="I406" s="112">
        <v>41374</v>
      </c>
      <c r="J406" s="112">
        <v>44273</v>
      </c>
      <c r="K406" s="112">
        <v>42664</v>
      </c>
      <c r="L406" s="112">
        <v>36087</v>
      </c>
      <c r="M406" s="112">
        <v>41771</v>
      </c>
      <c r="N406" s="112">
        <v>39761</v>
      </c>
      <c r="O406" s="112">
        <v>34361</v>
      </c>
      <c r="P406" s="112">
        <v>36350</v>
      </c>
      <c r="R406" s="111" t="s">
        <v>54</v>
      </c>
      <c r="S406" s="220">
        <v>5.0999999999999996</v>
      </c>
      <c r="T406" s="220">
        <v>6.3</v>
      </c>
      <c r="U406" s="220">
        <v>5.7</v>
      </c>
      <c r="V406" s="220">
        <v>5.9</v>
      </c>
      <c r="W406" s="220">
        <v>7.8</v>
      </c>
      <c r="X406" s="220">
        <v>7.9</v>
      </c>
      <c r="Y406" s="220">
        <v>8.1999999999999993</v>
      </c>
      <c r="Z406" s="220">
        <v>10.9</v>
      </c>
      <c r="AA406" s="220">
        <v>10.9</v>
      </c>
      <c r="AC406" s="111" t="s">
        <v>54</v>
      </c>
      <c r="AD406" s="112">
        <f t="shared" si="486"/>
        <v>5076.7439999999997</v>
      </c>
      <c r="AE406" s="112">
        <f t="shared" si="467"/>
        <v>5213.1239999999998</v>
      </c>
      <c r="AF406" s="112">
        <f t="shared" si="468"/>
        <v>5047.1220000000003</v>
      </c>
      <c r="AG406" s="112">
        <f t="shared" si="469"/>
        <v>5034.3519999999999</v>
      </c>
      <c r="AH406" s="112">
        <f t="shared" si="470"/>
        <v>5629.5719999999992</v>
      </c>
      <c r="AI406" s="112">
        <f t="shared" si="471"/>
        <v>6599.8180000000002</v>
      </c>
      <c r="AJ406" s="112">
        <f t="shared" si="472"/>
        <v>6520.8039999999992</v>
      </c>
      <c r="AK406" s="112">
        <f t="shared" si="483"/>
        <v>7490.6980000000003</v>
      </c>
      <c r="AL406" s="112">
        <f t="shared" si="484"/>
        <v>7924.3</v>
      </c>
      <c r="AN406" s="111" t="s">
        <v>54</v>
      </c>
      <c r="AO406" s="113">
        <f t="shared" ref="AO406:AW406" si="491">H406/H405</f>
        <v>0.37618284608640445</v>
      </c>
      <c r="AP406" s="113">
        <f t="shared" si="491"/>
        <v>0.31700570815615065</v>
      </c>
      <c r="AQ406" s="113">
        <f t="shared" si="491"/>
        <v>0.34049082113714846</v>
      </c>
      <c r="AR406" s="113">
        <f t="shared" si="491"/>
        <v>0.32099917237228198</v>
      </c>
      <c r="AS406" s="113">
        <f t="shared" si="491"/>
        <v>0.25781953275701935</v>
      </c>
      <c r="AT406" s="113">
        <f t="shared" si="491"/>
        <v>0.2900320784324617</v>
      </c>
      <c r="AU406" s="113">
        <f t="shared" si="491"/>
        <v>0.26172844382129717</v>
      </c>
      <c r="AV406" s="113">
        <f t="shared" si="491"/>
        <v>0.2402346344498745</v>
      </c>
      <c r="AW406" s="113">
        <f t="shared" si="491"/>
        <v>0.2635776955985788</v>
      </c>
      <c r="AY406" s="111" t="s">
        <v>54</v>
      </c>
      <c r="AZ406" s="179">
        <f t="shared" si="474"/>
        <v>3.8370650300813255E-2</v>
      </c>
      <c r="BA406" s="179">
        <f t="shared" si="475"/>
        <v>3.9942719227674978E-2</v>
      </c>
      <c r="BB406" s="179">
        <f t="shared" si="476"/>
        <v>3.8815953609634926E-2</v>
      </c>
      <c r="BC406" s="179">
        <f t="shared" si="477"/>
        <v>3.7877902339929277E-2</v>
      </c>
      <c r="BD406" s="179">
        <f t="shared" si="478"/>
        <v>4.0219847110095019E-2</v>
      </c>
      <c r="BE406" s="179">
        <f t="shared" si="479"/>
        <v>4.5825068392328951E-2</v>
      </c>
      <c r="BF406" s="179">
        <f t="shared" si="480"/>
        <v>4.2923464786692733E-2</v>
      </c>
      <c r="BG406" s="179">
        <f t="shared" si="481"/>
        <v>5.2371150310072646E-2</v>
      </c>
      <c r="BH406" s="179">
        <f t="shared" si="482"/>
        <v>5.7459937640490184E-2</v>
      </c>
    </row>
    <row r="407" spans="2:68" s="108" customFormat="1" x14ac:dyDescent="0.25">
      <c r="B407" s="107"/>
      <c r="E407" s="109" t="s">
        <v>1</v>
      </c>
      <c r="F407" s="110" t="s">
        <v>66</v>
      </c>
      <c r="G407" s="111" t="s">
        <v>55</v>
      </c>
      <c r="H407" s="70">
        <v>17615</v>
      </c>
      <c r="I407" s="70">
        <v>17007</v>
      </c>
      <c r="J407" s="70">
        <v>18621</v>
      </c>
      <c r="K407" s="70">
        <v>24234</v>
      </c>
      <c r="L407" s="70">
        <v>16870</v>
      </c>
      <c r="M407" s="112">
        <v>18936</v>
      </c>
      <c r="N407" s="112">
        <v>20540</v>
      </c>
      <c r="O407" s="112">
        <v>15583</v>
      </c>
      <c r="P407" s="112">
        <v>10313</v>
      </c>
      <c r="R407" s="111" t="s">
        <v>55</v>
      </c>
      <c r="S407" s="81">
        <v>9.8000000000000007</v>
      </c>
      <c r="T407" s="81">
        <v>10.9</v>
      </c>
      <c r="U407" s="81">
        <v>10.199999999999999</v>
      </c>
      <c r="V407" s="81">
        <v>8.4</v>
      </c>
      <c r="W407" s="81">
        <v>12.6</v>
      </c>
      <c r="X407" s="81">
        <v>13</v>
      </c>
      <c r="Y407" s="81">
        <v>11.9</v>
      </c>
      <c r="Z407" s="81">
        <v>15.4</v>
      </c>
      <c r="AA407" s="81">
        <v>20</v>
      </c>
      <c r="AC407" s="111" t="s">
        <v>55</v>
      </c>
      <c r="AD407" s="70">
        <f t="shared" si="486"/>
        <v>3452.54</v>
      </c>
      <c r="AE407" s="70">
        <f t="shared" si="467"/>
        <v>3707.5260000000003</v>
      </c>
      <c r="AF407" s="70">
        <f t="shared" si="468"/>
        <v>3798.6839999999997</v>
      </c>
      <c r="AG407" s="70">
        <f t="shared" si="469"/>
        <v>4071.3119999999999</v>
      </c>
      <c r="AH407" s="70">
        <f t="shared" si="470"/>
        <v>4251.24</v>
      </c>
      <c r="AI407" s="70">
        <f t="shared" si="471"/>
        <v>4923.3599999999997</v>
      </c>
      <c r="AJ407" s="70">
        <f t="shared" si="472"/>
        <v>4888.5200000000004</v>
      </c>
      <c r="AK407" s="70">
        <f t="shared" si="483"/>
        <v>4799.5640000000003</v>
      </c>
      <c r="AL407" s="70">
        <f t="shared" si="484"/>
        <v>4125.2</v>
      </c>
      <c r="AN407" s="111" t="s">
        <v>55</v>
      </c>
      <c r="AO407" s="113">
        <f t="shared" ref="AO407:AW407" si="492">H407/H405</f>
        <v>0.13313631828763189</v>
      </c>
      <c r="AP407" s="113">
        <f t="shared" si="492"/>
        <v>0.1303068612803126</v>
      </c>
      <c r="AQ407" s="113">
        <f t="shared" si="492"/>
        <v>0.14320871818929914</v>
      </c>
      <c r="AR407" s="113">
        <f t="shared" si="492"/>
        <v>0.18233391016477316</v>
      </c>
      <c r="AS407" s="113">
        <f t="shared" si="492"/>
        <v>0.12052582696292062</v>
      </c>
      <c r="AT407" s="113">
        <f t="shared" si="492"/>
        <v>0.13147991279110136</v>
      </c>
      <c r="AU407" s="113">
        <f t="shared" si="492"/>
        <v>0.13520540821632865</v>
      </c>
      <c r="AV407" s="113">
        <f t="shared" si="492"/>
        <v>0.1089484097852913</v>
      </c>
      <c r="AW407" s="113">
        <f t="shared" si="492"/>
        <v>7.4780654049742587E-2</v>
      </c>
      <c r="AY407" s="111" t="s">
        <v>55</v>
      </c>
      <c r="AZ407" s="179">
        <f t="shared" si="474"/>
        <v>2.6094718384375853E-2</v>
      </c>
      <c r="BA407" s="179">
        <f t="shared" si="475"/>
        <v>2.8406895759108149E-2</v>
      </c>
      <c r="BB407" s="179">
        <f t="shared" si="476"/>
        <v>2.9214578510617022E-2</v>
      </c>
      <c r="BC407" s="179">
        <f t="shared" si="477"/>
        <v>3.0632096907681889E-2</v>
      </c>
      <c r="BD407" s="179">
        <f t="shared" si="478"/>
        <v>3.0372508394655995E-2</v>
      </c>
      <c r="BE407" s="179">
        <f t="shared" si="479"/>
        <v>3.4184777325686352E-2</v>
      </c>
      <c r="BF407" s="179">
        <f t="shared" si="480"/>
        <v>3.2178887155486217E-2</v>
      </c>
      <c r="BG407" s="179">
        <f t="shared" si="481"/>
        <v>3.3556110213869721E-2</v>
      </c>
      <c r="BH407" s="179">
        <f t="shared" si="482"/>
        <v>2.9912261619897035E-2</v>
      </c>
    </row>
    <row r="408" spans="2:68" s="108" customFormat="1" x14ac:dyDescent="0.25">
      <c r="B408" s="107"/>
      <c r="E408" s="109" t="s">
        <v>1</v>
      </c>
      <c r="F408" s="110" t="s">
        <v>66</v>
      </c>
      <c r="G408" s="111" t="s">
        <v>130</v>
      </c>
      <c r="H408" s="70">
        <v>18685</v>
      </c>
      <c r="I408" s="70">
        <v>21628</v>
      </c>
      <c r="J408" s="70">
        <v>20712</v>
      </c>
      <c r="K408" s="70">
        <v>14836</v>
      </c>
      <c r="L408" s="70">
        <v>21389</v>
      </c>
      <c r="M408" s="70">
        <v>18358</v>
      </c>
      <c r="N408" s="70">
        <v>18410</v>
      </c>
      <c r="O408" s="112">
        <v>26468</v>
      </c>
      <c r="P408" s="112">
        <v>21037</v>
      </c>
      <c r="R408" s="111" t="s">
        <v>130</v>
      </c>
      <c r="S408" s="220">
        <v>9.6</v>
      </c>
      <c r="T408" s="220">
        <v>9.6</v>
      </c>
      <c r="U408" s="220">
        <v>9.4</v>
      </c>
      <c r="V408" s="220">
        <v>11.3</v>
      </c>
      <c r="W408" s="220">
        <v>11</v>
      </c>
      <c r="X408" s="220">
        <v>13</v>
      </c>
      <c r="Y408" s="220">
        <v>12.5</v>
      </c>
      <c r="Z408" s="220">
        <v>11.6</v>
      </c>
      <c r="AA408" s="220">
        <v>13.1</v>
      </c>
      <c r="AC408" s="111" t="s">
        <v>130</v>
      </c>
      <c r="AD408" s="70">
        <f t="shared" si="486"/>
        <v>3587.52</v>
      </c>
      <c r="AE408" s="70">
        <f t="shared" si="467"/>
        <v>4152.576</v>
      </c>
      <c r="AF408" s="70">
        <f t="shared" si="468"/>
        <v>3893.8560000000002</v>
      </c>
      <c r="AG408" s="70">
        <f t="shared" si="469"/>
        <v>3352.9360000000001</v>
      </c>
      <c r="AH408" s="70">
        <f t="shared" si="470"/>
        <v>4705.58</v>
      </c>
      <c r="AI408" s="70">
        <f t="shared" si="471"/>
        <v>4773.08</v>
      </c>
      <c r="AJ408" s="70">
        <f t="shared" si="472"/>
        <v>4602.5</v>
      </c>
      <c r="AK408" s="70">
        <f t="shared" si="483"/>
        <v>6140.576</v>
      </c>
      <c r="AL408" s="70">
        <f t="shared" si="484"/>
        <v>5511.6940000000004</v>
      </c>
      <c r="AN408" s="111" t="s">
        <v>130</v>
      </c>
      <c r="AO408" s="113">
        <f t="shared" ref="AO408:AW408" si="493">H408/H405</f>
        <v>0.14122350878253773</v>
      </c>
      <c r="AP408" s="113">
        <f t="shared" si="493"/>
        <v>0.16571275332337279</v>
      </c>
      <c r="AQ408" s="113">
        <f t="shared" si="493"/>
        <v>0.15928999361671037</v>
      </c>
      <c r="AR408" s="113">
        <f t="shared" si="493"/>
        <v>0.11162440749379279</v>
      </c>
      <c r="AS408" s="113">
        <f t="shared" si="493"/>
        <v>0.15281131671072373</v>
      </c>
      <c r="AT408" s="113">
        <f t="shared" si="493"/>
        <v>0.12746663704156311</v>
      </c>
      <c r="AU408" s="113">
        <f t="shared" si="493"/>
        <v>0.12118459421921181</v>
      </c>
      <c r="AV408" s="113">
        <f t="shared" si="493"/>
        <v>0.18505079318469422</v>
      </c>
      <c r="AW408" s="113">
        <f t="shared" si="493"/>
        <v>0.15254151258066856</v>
      </c>
      <c r="AY408" s="111" t="s">
        <v>130</v>
      </c>
      <c r="AZ408" s="179">
        <f t="shared" si="474"/>
        <v>2.711491368624724E-2</v>
      </c>
      <c r="BA408" s="179">
        <f t="shared" si="475"/>
        <v>3.1816848638087578E-2</v>
      </c>
      <c r="BB408" s="179">
        <f t="shared" si="476"/>
        <v>2.9946518799941549E-2</v>
      </c>
      <c r="BC408" s="179">
        <f t="shared" si="477"/>
        <v>2.5227116093597176E-2</v>
      </c>
      <c r="BD408" s="179">
        <f t="shared" si="478"/>
        <v>3.361848967635922E-2</v>
      </c>
      <c r="BE408" s="179">
        <f t="shared" si="479"/>
        <v>3.3141325630806406E-2</v>
      </c>
      <c r="BF408" s="179">
        <f t="shared" si="480"/>
        <v>3.0296148554802952E-2</v>
      </c>
      <c r="BG408" s="179">
        <f t="shared" si="481"/>
        <v>4.2931784018849062E-2</v>
      </c>
      <c r="BH408" s="179">
        <f t="shared" si="482"/>
        <v>3.9965876296135162E-2</v>
      </c>
    </row>
    <row r="409" spans="2:68" s="108" customFormat="1" x14ac:dyDescent="0.25">
      <c r="B409" s="107"/>
      <c r="E409" s="109" t="s">
        <v>1</v>
      </c>
      <c r="F409" s="110" t="s">
        <v>66</v>
      </c>
      <c r="G409" s="111" t="s">
        <v>131</v>
      </c>
      <c r="H409" s="112">
        <v>46236</v>
      </c>
      <c r="I409" s="112">
        <v>50506</v>
      </c>
      <c r="J409" s="112">
        <v>46331</v>
      </c>
      <c r="K409" s="112">
        <v>51176</v>
      </c>
      <c r="L409" s="112">
        <v>65624</v>
      </c>
      <c r="M409" s="112">
        <v>64957</v>
      </c>
      <c r="N409" s="112">
        <v>73207</v>
      </c>
      <c r="O409" s="112">
        <v>66619</v>
      </c>
      <c r="P409" s="112">
        <v>70210</v>
      </c>
      <c r="R409" s="111" t="s">
        <v>131</v>
      </c>
      <c r="S409" s="220">
        <v>6.1</v>
      </c>
      <c r="T409" s="220">
        <v>5.4</v>
      </c>
      <c r="U409" s="220">
        <v>5.7</v>
      </c>
      <c r="V409" s="220">
        <v>4.9000000000000004</v>
      </c>
      <c r="W409" s="220">
        <v>5.0999999999999996</v>
      </c>
      <c r="X409" s="220">
        <v>5.8</v>
      </c>
      <c r="Y409" s="220">
        <v>5</v>
      </c>
      <c r="Z409" s="220">
        <v>6.1</v>
      </c>
      <c r="AA409" s="220">
        <v>5.5</v>
      </c>
      <c r="AC409" s="111" t="s">
        <v>131</v>
      </c>
      <c r="AD409" s="112">
        <f t="shared" si="486"/>
        <v>5640.7919999999995</v>
      </c>
      <c r="AE409" s="112">
        <f t="shared" si="467"/>
        <v>5454.6480000000001</v>
      </c>
      <c r="AF409" s="112">
        <f t="shared" si="468"/>
        <v>5281.7340000000004</v>
      </c>
      <c r="AG409" s="112">
        <f t="shared" si="469"/>
        <v>5015.2480000000005</v>
      </c>
      <c r="AH409" s="112">
        <f t="shared" si="470"/>
        <v>6693.6479999999992</v>
      </c>
      <c r="AI409" s="112">
        <f t="shared" si="471"/>
        <v>7535.0119999999997</v>
      </c>
      <c r="AJ409" s="112">
        <f t="shared" si="472"/>
        <v>7320.7</v>
      </c>
      <c r="AK409" s="112">
        <f t="shared" si="483"/>
        <v>8127.5179999999991</v>
      </c>
      <c r="AL409" s="112">
        <f t="shared" si="484"/>
        <v>7723.1</v>
      </c>
      <c r="AN409" s="111" t="s">
        <v>131</v>
      </c>
      <c r="AO409" s="113">
        <f t="shared" ref="AO409:AW409" si="494">H409/H405</f>
        <v>0.34945732684342595</v>
      </c>
      <c r="AP409" s="113">
        <f t="shared" si="494"/>
        <v>0.38697467724016399</v>
      </c>
      <c r="AQ409" s="113">
        <f t="shared" si="494"/>
        <v>0.35631830312165935</v>
      </c>
      <c r="AR409" s="113">
        <f t="shared" si="494"/>
        <v>0.38504250996915207</v>
      </c>
      <c r="AS409" s="113">
        <f t="shared" si="494"/>
        <v>0.46884332356933628</v>
      </c>
      <c r="AT409" s="113">
        <f t="shared" si="494"/>
        <v>0.45102137173487383</v>
      </c>
      <c r="AU409" s="113">
        <f t="shared" si="494"/>
        <v>0.48188813628494509</v>
      </c>
      <c r="AV409" s="113">
        <f t="shared" si="494"/>
        <v>0.46576616258013998</v>
      </c>
      <c r="AW409" s="113">
        <f t="shared" si="494"/>
        <v>0.50910013777101004</v>
      </c>
      <c r="AY409" s="111" t="s">
        <v>131</v>
      </c>
      <c r="AZ409" s="179">
        <f t="shared" si="474"/>
        <v>4.2633793874897963E-2</v>
      </c>
      <c r="BA409" s="179">
        <f t="shared" si="475"/>
        <v>4.1793265141937715E-2</v>
      </c>
      <c r="BB409" s="179">
        <f t="shared" si="476"/>
        <v>4.0620286555869169E-2</v>
      </c>
      <c r="BC409" s="179">
        <f t="shared" si="477"/>
        <v>3.7734165976976902E-2</v>
      </c>
      <c r="BD409" s="179">
        <f t="shared" si="478"/>
        <v>4.7822019004072291E-2</v>
      </c>
      <c r="BE409" s="179">
        <f t="shared" si="479"/>
        <v>5.2318479121245362E-2</v>
      </c>
      <c r="BF409" s="179">
        <f t="shared" si="480"/>
        <v>4.818881362849451E-2</v>
      </c>
      <c r="BG409" s="179">
        <f t="shared" si="481"/>
        <v>5.6823471834777074E-2</v>
      </c>
      <c r="BH409" s="179">
        <f t="shared" si="482"/>
        <v>5.600101515481111E-2</v>
      </c>
    </row>
    <row r="410" spans="2:68" s="87" customFormat="1" x14ac:dyDescent="0.25">
      <c r="B410" s="84"/>
      <c r="C410" s="85"/>
      <c r="D410" s="85"/>
      <c r="E410" s="109" t="s">
        <v>2</v>
      </c>
      <c r="F410" s="110" t="s">
        <v>66</v>
      </c>
      <c r="G410" s="195" t="s">
        <v>7</v>
      </c>
      <c r="H410" s="69">
        <v>209024</v>
      </c>
      <c r="I410" s="69">
        <v>195945</v>
      </c>
      <c r="J410" s="69">
        <v>180082</v>
      </c>
      <c r="K410" s="69">
        <v>174179</v>
      </c>
      <c r="L410" s="69">
        <v>176757</v>
      </c>
      <c r="M410" s="69">
        <v>185049</v>
      </c>
      <c r="N410" s="69">
        <v>200478</v>
      </c>
      <c r="O410" s="69">
        <v>231315</v>
      </c>
      <c r="P410" s="69">
        <v>239644</v>
      </c>
      <c r="R410" s="195" t="s">
        <v>7</v>
      </c>
      <c r="S410" s="226">
        <v>1</v>
      </c>
      <c r="T410" s="226">
        <v>3.5</v>
      </c>
      <c r="U410" s="226">
        <v>1.2</v>
      </c>
      <c r="V410" s="226">
        <v>1.2</v>
      </c>
      <c r="W410" s="226">
        <v>1.2</v>
      </c>
      <c r="X410" s="226">
        <v>1.5</v>
      </c>
      <c r="Y410" s="226">
        <v>1.3</v>
      </c>
      <c r="Z410" s="226">
        <v>1.3</v>
      </c>
      <c r="AA410" s="226">
        <v>1</v>
      </c>
      <c r="AC410" s="195" t="s">
        <v>7</v>
      </c>
      <c r="AD410" s="69">
        <f t="shared" si="486"/>
        <v>4180.4799999999996</v>
      </c>
      <c r="AE410" s="69">
        <f t="shared" si="467"/>
        <v>13716.15</v>
      </c>
      <c r="AF410" s="69">
        <f t="shared" si="468"/>
        <v>4321.9679999999998</v>
      </c>
      <c r="AG410" s="69">
        <f t="shared" si="469"/>
        <v>4180.2959999999994</v>
      </c>
      <c r="AH410" s="69">
        <f t="shared" si="470"/>
        <v>4242.1679999999997</v>
      </c>
      <c r="AI410" s="69">
        <f t="shared" si="471"/>
        <v>5551.47</v>
      </c>
      <c r="AJ410" s="69">
        <f t="shared" si="472"/>
        <v>5212.4280000000008</v>
      </c>
      <c r="AK410" s="69">
        <f t="shared" si="483"/>
        <v>6014.19</v>
      </c>
      <c r="AL410" s="69">
        <f t="shared" si="484"/>
        <v>4792.88</v>
      </c>
      <c r="AN410" s="195" t="s">
        <v>7</v>
      </c>
      <c r="AO410" s="98">
        <f t="shared" ref="AO410:AW410" si="495">H410/H410</f>
        <v>1</v>
      </c>
      <c r="AP410" s="98">
        <f t="shared" si="495"/>
        <v>1</v>
      </c>
      <c r="AQ410" s="98">
        <f t="shared" si="495"/>
        <v>1</v>
      </c>
      <c r="AR410" s="98">
        <f t="shared" si="495"/>
        <v>1</v>
      </c>
      <c r="AS410" s="98">
        <f t="shared" si="495"/>
        <v>1</v>
      </c>
      <c r="AT410" s="98">
        <f t="shared" si="495"/>
        <v>1</v>
      </c>
      <c r="AU410" s="98">
        <f t="shared" si="495"/>
        <v>1</v>
      </c>
      <c r="AV410" s="98">
        <f t="shared" si="495"/>
        <v>1</v>
      </c>
      <c r="AW410" s="98">
        <f t="shared" si="495"/>
        <v>1</v>
      </c>
      <c r="AX410" s="191"/>
      <c r="AY410" s="195" t="s">
        <v>7</v>
      </c>
      <c r="AZ410" s="178">
        <f t="shared" si="474"/>
        <v>0.02</v>
      </c>
      <c r="BA410" s="178">
        <f t="shared" si="475"/>
        <v>7.0000000000000007E-2</v>
      </c>
      <c r="BB410" s="178">
        <f t="shared" si="476"/>
        <v>2.4E-2</v>
      </c>
      <c r="BC410" s="178">
        <f t="shared" si="477"/>
        <v>2.4E-2</v>
      </c>
      <c r="BD410" s="178">
        <f t="shared" si="478"/>
        <v>2.4E-2</v>
      </c>
      <c r="BE410" s="178">
        <f t="shared" si="479"/>
        <v>0.03</v>
      </c>
      <c r="BF410" s="178">
        <f t="shared" si="480"/>
        <v>2.6000000000000002E-2</v>
      </c>
      <c r="BG410" s="178">
        <f t="shared" si="481"/>
        <v>2.6000000000000002E-2</v>
      </c>
      <c r="BH410" s="178">
        <f t="shared" si="482"/>
        <v>0.02</v>
      </c>
      <c r="BI410" s="191"/>
      <c r="BJ410" s="191"/>
      <c r="BK410" s="191"/>
      <c r="BL410" s="191"/>
      <c r="BM410" s="191"/>
      <c r="BN410" s="191"/>
      <c r="BO410" s="191"/>
      <c r="BP410" s="191"/>
    </row>
    <row r="411" spans="2:68" s="108" customFormat="1" x14ac:dyDescent="0.25">
      <c r="B411" s="107"/>
      <c r="E411" s="109" t="s">
        <v>2</v>
      </c>
      <c r="F411" s="110" t="s">
        <v>66</v>
      </c>
      <c r="G411" s="111" t="s">
        <v>54</v>
      </c>
      <c r="H411" s="112">
        <v>72856</v>
      </c>
      <c r="I411" s="112">
        <v>66622</v>
      </c>
      <c r="J411" s="112">
        <v>50906</v>
      </c>
      <c r="K411" s="112">
        <v>53156</v>
      </c>
      <c r="L411" s="112">
        <v>50295</v>
      </c>
      <c r="M411" s="112">
        <v>45095</v>
      </c>
      <c r="N411" s="112">
        <v>53809</v>
      </c>
      <c r="O411" s="112">
        <v>53326</v>
      </c>
      <c r="P411" s="112">
        <v>52549</v>
      </c>
      <c r="R411" s="111" t="s">
        <v>54</v>
      </c>
      <c r="S411" s="220">
        <v>4.0999999999999996</v>
      </c>
      <c r="T411" s="220">
        <v>4.9000000000000004</v>
      </c>
      <c r="U411" s="220">
        <v>5.4</v>
      </c>
      <c r="V411" s="220">
        <v>5.0999999999999996</v>
      </c>
      <c r="W411" s="220">
        <v>6.5</v>
      </c>
      <c r="X411" s="220">
        <v>7.7</v>
      </c>
      <c r="Y411" s="220">
        <v>6.6</v>
      </c>
      <c r="Z411" s="220">
        <v>8</v>
      </c>
      <c r="AA411" s="220">
        <v>8.1999999999999993</v>
      </c>
      <c r="AC411" s="111" t="s">
        <v>54</v>
      </c>
      <c r="AD411" s="112">
        <f t="shared" si="486"/>
        <v>5974.1919999999991</v>
      </c>
      <c r="AE411" s="112">
        <f t="shared" si="467"/>
        <v>6528.956000000001</v>
      </c>
      <c r="AF411" s="112">
        <f t="shared" si="468"/>
        <v>5497.8480000000009</v>
      </c>
      <c r="AG411" s="112">
        <f t="shared" si="469"/>
        <v>5421.9119999999994</v>
      </c>
      <c r="AH411" s="112">
        <f t="shared" si="470"/>
        <v>6538.35</v>
      </c>
      <c r="AI411" s="112">
        <f t="shared" si="471"/>
        <v>6944.63</v>
      </c>
      <c r="AJ411" s="112">
        <f t="shared" si="472"/>
        <v>7102.7879999999996</v>
      </c>
      <c r="AK411" s="112">
        <f t="shared" si="483"/>
        <v>8532.16</v>
      </c>
      <c r="AL411" s="112">
        <f t="shared" si="484"/>
        <v>8618.0360000000001</v>
      </c>
      <c r="AN411" s="111" t="s">
        <v>54</v>
      </c>
      <c r="AO411" s="113">
        <f t="shared" ref="AO411:AW411" si="496">H411/H410</f>
        <v>0.34855327617881199</v>
      </c>
      <c r="AP411" s="113">
        <f t="shared" si="496"/>
        <v>0.34000357243103935</v>
      </c>
      <c r="AQ411" s="113">
        <f t="shared" si="496"/>
        <v>0.28268233360358058</v>
      </c>
      <c r="AR411" s="113">
        <f t="shared" si="496"/>
        <v>0.3051803030216042</v>
      </c>
      <c r="AS411" s="113">
        <f t="shared" si="496"/>
        <v>0.28454318640845905</v>
      </c>
      <c r="AT411" s="113">
        <f t="shared" si="496"/>
        <v>0.24369221125215484</v>
      </c>
      <c r="AU411" s="113">
        <f t="shared" si="496"/>
        <v>0.26840351559772146</v>
      </c>
      <c r="AV411" s="113">
        <f t="shared" si="496"/>
        <v>0.2305341201392041</v>
      </c>
      <c r="AW411" s="113">
        <f t="shared" si="496"/>
        <v>0.21927943115621507</v>
      </c>
      <c r="AY411" s="111" t="s">
        <v>54</v>
      </c>
      <c r="AZ411" s="179">
        <f t="shared" si="474"/>
        <v>2.858136864666258E-2</v>
      </c>
      <c r="BA411" s="179">
        <f t="shared" si="475"/>
        <v>3.3320350098241858E-2</v>
      </c>
      <c r="BB411" s="179">
        <f t="shared" si="476"/>
        <v>3.0529692029186702E-2</v>
      </c>
      <c r="BC411" s="179">
        <f t="shared" si="477"/>
        <v>3.1128390908203626E-2</v>
      </c>
      <c r="BD411" s="179">
        <f t="shared" si="478"/>
        <v>3.6990614233099676E-2</v>
      </c>
      <c r="BE411" s="179">
        <f t="shared" si="479"/>
        <v>3.7528600532831843E-2</v>
      </c>
      <c r="BF411" s="179">
        <f t="shared" si="480"/>
        <v>3.5429264058899228E-2</v>
      </c>
      <c r="BG411" s="179">
        <f t="shared" si="481"/>
        <v>3.6885459222272654E-2</v>
      </c>
      <c r="BH411" s="179">
        <f t="shared" si="482"/>
        <v>3.5961826709619268E-2</v>
      </c>
    </row>
    <row r="412" spans="2:68" s="108" customFormat="1" x14ac:dyDescent="0.25">
      <c r="B412" s="107"/>
      <c r="E412" s="109" t="s">
        <v>2</v>
      </c>
      <c r="F412" s="110" t="s">
        <v>66</v>
      </c>
      <c r="G412" s="111" t="s">
        <v>55</v>
      </c>
      <c r="H412" s="70">
        <v>48543</v>
      </c>
      <c r="I412" s="70">
        <v>40319</v>
      </c>
      <c r="J412" s="70">
        <v>37899</v>
      </c>
      <c r="K412" s="70">
        <v>33474</v>
      </c>
      <c r="L412" s="70">
        <v>33898</v>
      </c>
      <c r="M412" s="112">
        <v>37907</v>
      </c>
      <c r="N412" s="112">
        <v>39529</v>
      </c>
      <c r="O412" s="112">
        <v>45229</v>
      </c>
      <c r="P412" s="112">
        <v>47188</v>
      </c>
      <c r="R412" s="111" t="s">
        <v>55</v>
      </c>
      <c r="S412" s="81">
        <v>5.7</v>
      </c>
      <c r="T412" s="81">
        <v>6.7</v>
      </c>
      <c r="U412" s="81">
        <v>6.9</v>
      </c>
      <c r="V412" s="81">
        <v>7.5</v>
      </c>
      <c r="W412" s="81">
        <v>8.9</v>
      </c>
      <c r="X412" s="81">
        <v>8.8000000000000007</v>
      </c>
      <c r="Y412" s="81">
        <v>8.5</v>
      </c>
      <c r="Z412" s="81">
        <v>8.4</v>
      </c>
      <c r="AA412" s="81">
        <v>8.6999999999999993</v>
      </c>
      <c r="AC412" s="111" t="s">
        <v>55</v>
      </c>
      <c r="AD412" s="70">
        <f t="shared" si="486"/>
        <v>5533.902000000001</v>
      </c>
      <c r="AE412" s="70">
        <f t="shared" si="467"/>
        <v>5402.7460000000001</v>
      </c>
      <c r="AF412" s="70">
        <f t="shared" si="468"/>
        <v>5230.0619999999999</v>
      </c>
      <c r="AG412" s="70">
        <f t="shared" si="469"/>
        <v>5021.1000000000004</v>
      </c>
      <c r="AH412" s="70">
        <f t="shared" si="470"/>
        <v>6033.8440000000001</v>
      </c>
      <c r="AI412" s="70">
        <f t="shared" si="471"/>
        <v>6671.6320000000005</v>
      </c>
      <c r="AJ412" s="70">
        <f t="shared" si="472"/>
        <v>6719.93</v>
      </c>
      <c r="AK412" s="70">
        <f t="shared" si="483"/>
        <v>7598.4720000000007</v>
      </c>
      <c r="AL412" s="70">
        <f t="shared" si="484"/>
        <v>8210.7119999999995</v>
      </c>
      <c r="AN412" s="111" t="s">
        <v>55</v>
      </c>
      <c r="AO412" s="113">
        <f t="shared" ref="AO412:AW412" si="497">H412/H410</f>
        <v>0.23223648958971219</v>
      </c>
      <c r="AP412" s="113">
        <f t="shared" si="497"/>
        <v>0.2057669243920488</v>
      </c>
      <c r="AQ412" s="113">
        <f t="shared" si="497"/>
        <v>0.2104541264535045</v>
      </c>
      <c r="AR412" s="113">
        <f t="shared" si="497"/>
        <v>0.19218160627859845</v>
      </c>
      <c r="AS412" s="113">
        <f t="shared" si="497"/>
        <v>0.19177741192710898</v>
      </c>
      <c r="AT412" s="113">
        <f t="shared" si="497"/>
        <v>0.20484844554685516</v>
      </c>
      <c r="AU412" s="113">
        <f t="shared" si="497"/>
        <v>0.19717375472620438</v>
      </c>
      <c r="AV412" s="113">
        <f t="shared" si="497"/>
        <v>0.1955299051077535</v>
      </c>
      <c r="AW412" s="113">
        <f t="shared" si="497"/>
        <v>0.19690874797616464</v>
      </c>
      <c r="AY412" s="111" t="s">
        <v>55</v>
      </c>
      <c r="AZ412" s="179">
        <f t="shared" si="474"/>
        <v>2.6474959813227186E-2</v>
      </c>
      <c r="BA412" s="179">
        <f t="shared" si="475"/>
        <v>2.7572767868534541E-2</v>
      </c>
      <c r="BB412" s="179">
        <f t="shared" si="476"/>
        <v>2.9042669450583626E-2</v>
      </c>
      <c r="BC412" s="179">
        <f t="shared" si="477"/>
        <v>2.8827240941789768E-2</v>
      </c>
      <c r="BD412" s="179">
        <f t="shared" si="478"/>
        <v>3.41363793230254E-2</v>
      </c>
      <c r="BE412" s="179">
        <f t="shared" si="479"/>
        <v>3.6053326416246506E-2</v>
      </c>
      <c r="BF412" s="179">
        <f t="shared" si="480"/>
        <v>3.3519538303454749E-2</v>
      </c>
      <c r="BG412" s="179">
        <f t="shared" si="481"/>
        <v>3.284902405810259E-2</v>
      </c>
      <c r="BH412" s="179">
        <f t="shared" si="482"/>
        <v>3.4262122147852646E-2</v>
      </c>
    </row>
    <row r="413" spans="2:68" s="108" customFormat="1" x14ac:dyDescent="0.25">
      <c r="B413" s="107"/>
      <c r="E413" s="109" t="s">
        <v>2</v>
      </c>
      <c r="F413" s="110" t="s">
        <v>66</v>
      </c>
      <c r="G413" s="111" t="s">
        <v>130</v>
      </c>
      <c r="H413" s="70">
        <v>35822</v>
      </c>
      <c r="I413" s="70">
        <v>33304</v>
      </c>
      <c r="J413" s="70">
        <v>29670</v>
      </c>
      <c r="K413" s="70">
        <v>25365</v>
      </c>
      <c r="L413" s="70">
        <v>24339</v>
      </c>
      <c r="M413" s="70">
        <v>29706</v>
      </c>
      <c r="N413" s="70">
        <v>27369</v>
      </c>
      <c r="O413" s="112">
        <v>36891</v>
      </c>
      <c r="P413" s="112">
        <v>41461</v>
      </c>
      <c r="R413" s="111" t="s">
        <v>130</v>
      </c>
      <c r="S413" s="220">
        <v>6.9</v>
      </c>
      <c r="T413" s="220">
        <v>8.1999999999999993</v>
      </c>
      <c r="U413" s="220">
        <v>8.4</v>
      </c>
      <c r="V413" s="220">
        <v>8.1999999999999993</v>
      </c>
      <c r="W413" s="220">
        <v>10.3</v>
      </c>
      <c r="X413" s="220">
        <v>10.7</v>
      </c>
      <c r="Y413" s="220">
        <v>10.6</v>
      </c>
      <c r="Z413" s="220">
        <v>9.8000000000000007</v>
      </c>
      <c r="AA413" s="220">
        <v>9.5</v>
      </c>
      <c r="AC413" s="111" t="s">
        <v>130</v>
      </c>
      <c r="AD413" s="70">
        <f t="shared" si="486"/>
        <v>4943.4360000000006</v>
      </c>
      <c r="AE413" s="70">
        <f t="shared" si="467"/>
        <v>5461.8559999999998</v>
      </c>
      <c r="AF413" s="70">
        <f t="shared" si="468"/>
        <v>4984.5600000000004</v>
      </c>
      <c r="AG413" s="70">
        <f t="shared" si="469"/>
        <v>4159.8599999999997</v>
      </c>
      <c r="AH413" s="70">
        <f t="shared" si="470"/>
        <v>5013.8339999999998</v>
      </c>
      <c r="AI413" s="70">
        <f t="shared" si="471"/>
        <v>6357.0839999999989</v>
      </c>
      <c r="AJ413" s="70">
        <f t="shared" si="472"/>
        <v>5802.2279999999992</v>
      </c>
      <c r="AK413" s="70">
        <f t="shared" si="483"/>
        <v>7230.6360000000013</v>
      </c>
      <c r="AL413" s="70">
        <f t="shared" si="484"/>
        <v>7877.59</v>
      </c>
      <c r="AN413" s="111" t="s">
        <v>130</v>
      </c>
      <c r="AO413" s="113">
        <f t="shared" ref="AO413:AW413" si="498">H413/H410</f>
        <v>0.17137744947948561</v>
      </c>
      <c r="AP413" s="113">
        <f t="shared" si="498"/>
        <v>0.16996606190512645</v>
      </c>
      <c r="AQ413" s="113">
        <f t="shared" si="498"/>
        <v>0.16475827678502017</v>
      </c>
      <c r="AR413" s="113">
        <f t="shared" si="498"/>
        <v>0.14562605136095627</v>
      </c>
      <c r="AS413" s="113">
        <f t="shared" si="498"/>
        <v>0.13769751693002258</v>
      </c>
      <c r="AT413" s="113">
        <f t="shared" si="498"/>
        <v>0.16053045409594216</v>
      </c>
      <c r="AU413" s="113">
        <f t="shared" si="498"/>
        <v>0.136518720258582</v>
      </c>
      <c r="AV413" s="113">
        <f t="shared" si="498"/>
        <v>0.15948382076389339</v>
      </c>
      <c r="AW413" s="113">
        <f t="shared" si="498"/>
        <v>0.17301079935237268</v>
      </c>
      <c r="AY413" s="111" t="s">
        <v>130</v>
      </c>
      <c r="AZ413" s="179">
        <f t="shared" si="474"/>
        <v>2.3650088028169015E-2</v>
      </c>
      <c r="BA413" s="179">
        <f t="shared" si="475"/>
        <v>2.7874434152440734E-2</v>
      </c>
      <c r="BB413" s="179">
        <f t="shared" si="476"/>
        <v>2.767939049988339E-2</v>
      </c>
      <c r="BC413" s="179">
        <f t="shared" si="477"/>
        <v>2.3882672423196825E-2</v>
      </c>
      <c r="BD413" s="179">
        <f t="shared" si="478"/>
        <v>2.8365688487584653E-2</v>
      </c>
      <c r="BE413" s="179">
        <f t="shared" si="479"/>
        <v>3.4353517176531623E-2</v>
      </c>
      <c r="BF413" s="179">
        <f t="shared" si="480"/>
        <v>2.8941968694819385E-2</v>
      </c>
      <c r="BG413" s="179">
        <f t="shared" si="481"/>
        <v>3.1258828869723108E-2</v>
      </c>
      <c r="BH413" s="179">
        <f t="shared" si="482"/>
        <v>3.287205187695081E-2</v>
      </c>
    </row>
    <row r="414" spans="2:68" s="108" customFormat="1" x14ac:dyDescent="0.25">
      <c r="B414" s="107"/>
      <c r="E414" s="109" t="s">
        <v>2</v>
      </c>
      <c r="F414" s="110" t="s">
        <v>66</v>
      </c>
      <c r="G414" s="111" t="s">
        <v>131</v>
      </c>
      <c r="H414" s="112">
        <v>51719</v>
      </c>
      <c r="I414" s="112">
        <v>55632</v>
      </c>
      <c r="J414" s="112">
        <v>61608</v>
      </c>
      <c r="K414" s="112">
        <v>62118</v>
      </c>
      <c r="L414" s="112">
        <v>68226</v>
      </c>
      <c r="M414" s="112">
        <v>72341</v>
      </c>
      <c r="N414" s="112">
        <v>79771</v>
      </c>
      <c r="O414" s="112">
        <v>95869</v>
      </c>
      <c r="P414" s="112">
        <v>98446</v>
      </c>
      <c r="R414" s="111" t="s">
        <v>131</v>
      </c>
      <c r="S414" s="220">
        <v>5.2</v>
      </c>
      <c r="T414" s="220">
        <v>5.5</v>
      </c>
      <c r="U414" s="220">
        <v>5.5</v>
      </c>
      <c r="V414" s="220">
        <v>4.3</v>
      </c>
      <c r="W414" s="220">
        <v>5.0999999999999996</v>
      </c>
      <c r="X414" s="220">
        <v>5.6</v>
      </c>
      <c r="Y414" s="220">
        <v>4.7</v>
      </c>
      <c r="Z414" s="220">
        <v>2</v>
      </c>
      <c r="AA414" s="220">
        <v>5.2</v>
      </c>
      <c r="AC414" s="111" t="s">
        <v>131</v>
      </c>
      <c r="AD414" s="112">
        <f t="shared" si="486"/>
        <v>5378.7759999999998</v>
      </c>
      <c r="AE414" s="112">
        <f t="shared" si="467"/>
        <v>6119.52</v>
      </c>
      <c r="AF414" s="112">
        <f t="shared" si="468"/>
        <v>6776.88</v>
      </c>
      <c r="AG414" s="112">
        <f t="shared" si="469"/>
        <v>5342.1479999999992</v>
      </c>
      <c r="AH414" s="112">
        <f t="shared" si="470"/>
        <v>6959.0519999999997</v>
      </c>
      <c r="AI414" s="112">
        <f t="shared" si="471"/>
        <v>8102.1919999999991</v>
      </c>
      <c r="AJ414" s="112">
        <f t="shared" si="472"/>
        <v>7498.4740000000002</v>
      </c>
      <c r="AK414" s="112">
        <f t="shared" si="483"/>
        <v>3834.76</v>
      </c>
      <c r="AL414" s="112">
        <f t="shared" si="484"/>
        <v>10238.384</v>
      </c>
      <c r="AN414" s="111" t="s">
        <v>131</v>
      </c>
      <c r="AO414" s="113">
        <f t="shared" ref="AO414:AW414" si="499">H414/H410</f>
        <v>0.24743091702388242</v>
      </c>
      <c r="AP414" s="113">
        <f t="shared" si="499"/>
        <v>0.28391640511367988</v>
      </c>
      <c r="AQ414" s="113">
        <f t="shared" si="499"/>
        <v>0.34211081618373851</v>
      </c>
      <c r="AR414" s="113">
        <f t="shared" si="499"/>
        <v>0.35663311880307041</v>
      </c>
      <c r="AS414" s="113">
        <f t="shared" si="499"/>
        <v>0.38598754221897857</v>
      </c>
      <c r="AT414" s="113">
        <f t="shared" si="499"/>
        <v>0.39092888910504786</v>
      </c>
      <c r="AU414" s="113">
        <f t="shared" si="499"/>
        <v>0.39790400941749221</v>
      </c>
      <c r="AV414" s="113">
        <f t="shared" si="499"/>
        <v>0.41445215398914897</v>
      </c>
      <c r="AW414" s="113">
        <f t="shared" si="499"/>
        <v>0.41080102151524761</v>
      </c>
      <c r="AY414" s="111" t="s">
        <v>131</v>
      </c>
      <c r="AZ414" s="179">
        <f t="shared" si="474"/>
        <v>2.5732815370483775E-2</v>
      </c>
      <c r="BA414" s="179">
        <f t="shared" si="475"/>
        <v>3.1230804562504787E-2</v>
      </c>
      <c r="BB414" s="179">
        <f t="shared" si="476"/>
        <v>3.7632189780211239E-2</v>
      </c>
      <c r="BC414" s="179">
        <f t="shared" si="477"/>
        <v>3.0670448217064054E-2</v>
      </c>
      <c r="BD414" s="179">
        <f t="shared" si="478"/>
        <v>3.9370729306335811E-2</v>
      </c>
      <c r="BE414" s="179">
        <f t="shared" si="479"/>
        <v>4.378403557976536E-2</v>
      </c>
      <c r="BF414" s="179">
        <f t="shared" si="480"/>
        <v>3.7402976885244271E-2</v>
      </c>
      <c r="BG414" s="179">
        <f t="shared" si="481"/>
        <v>1.657808615956596E-2</v>
      </c>
      <c r="BH414" s="179">
        <f t="shared" si="482"/>
        <v>4.2723306237585759E-2</v>
      </c>
    </row>
    <row r="415" spans="2:68" s="87" customFormat="1" x14ac:dyDescent="0.25">
      <c r="B415" s="84"/>
      <c r="C415" s="85"/>
      <c r="D415" s="85"/>
      <c r="E415" s="109" t="s">
        <v>3</v>
      </c>
      <c r="F415" s="110" t="s">
        <v>66</v>
      </c>
      <c r="G415" s="195" t="s">
        <v>7</v>
      </c>
      <c r="H415" s="69">
        <v>210363</v>
      </c>
      <c r="I415" s="69">
        <v>223236</v>
      </c>
      <c r="J415" s="69">
        <v>232684</v>
      </c>
      <c r="K415" s="69">
        <v>247267</v>
      </c>
      <c r="L415" s="69">
        <v>261284</v>
      </c>
      <c r="M415" s="69">
        <v>267520</v>
      </c>
      <c r="N415" s="69">
        <v>272895</v>
      </c>
      <c r="O415" s="69">
        <v>276952</v>
      </c>
      <c r="P415" s="69">
        <v>274431</v>
      </c>
      <c r="R415" s="195" t="s">
        <v>7</v>
      </c>
      <c r="S415" s="226">
        <v>1</v>
      </c>
      <c r="T415" s="226">
        <v>0.9</v>
      </c>
      <c r="U415" s="226">
        <v>1</v>
      </c>
      <c r="V415" s="226">
        <v>1</v>
      </c>
      <c r="W415" s="226">
        <v>1.1000000000000001</v>
      </c>
      <c r="X415" s="226">
        <v>1.2</v>
      </c>
      <c r="Y415" s="226">
        <v>1</v>
      </c>
      <c r="Z415" s="226">
        <v>1.2</v>
      </c>
      <c r="AA415" s="226">
        <v>1</v>
      </c>
      <c r="AC415" s="195" t="s">
        <v>7</v>
      </c>
      <c r="AD415" s="69">
        <f t="shared" si="486"/>
        <v>4207.26</v>
      </c>
      <c r="AE415" s="69">
        <f t="shared" si="467"/>
        <v>4018.248</v>
      </c>
      <c r="AF415" s="69">
        <f t="shared" si="468"/>
        <v>4653.68</v>
      </c>
      <c r="AG415" s="69">
        <f t="shared" si="469"/>
        <v>4945.34</v>
      </c>
      <c r="AH415" s="69">
        <f t="shared" si="470"/>
        <v>5748.2480000000005</v>
      </c>
      <c r="AI415" s="69">
        <f t="shared" si="471"/>
        <v>6420.48</v>
      </c>
      <c r="AJ415" s="69">
        <f t="shared" si="472"/>
        <v>5457.9</v>
      </c>
      <c r="AK415" s="69">
        <f t="shared" si="483"/>
        <v>6646.847999999999</v>
      </c>
      <c r="AL415" s="69">
        <f t="shared" si="484"/>
        <v>5488.62</v>
      </c>
      <c r="AN415" s="195" t="s">
        <v>7</v>
      </c>
      <c r="AO415" s="98">
        <f t="shared" ref="AO415:AW415" si="500">H415/H415</f>
        <v>1</v>
      </c>
      <c r="AP415" s="98">
        <f t="shared" si="500"/>
        <v>1</v>
      </c>
      <c r="AQ415" s="98">
        <f t="shared" si="500"/>
        <v>1</v>
      </c>
      <c r="AR415" s="98">
        <f t="shared" si="500"/>
        <v>1</v>
      </c>
      <c r="AS415" s="98">
        <f t="shared" si="500"/>
        <v>1</v>
      </c>
      <c r="AT415" s="98">
        <f t="shared" si="500"/>
        <v>1</v>
      </c>
      <c r="AU415" s="98">
        <f t="shared" si="500"/>
        <v>1</v>
      </c>
      <c r="AV415" s="98">
        <f t="shared" si="500"/>
        <v>1</v>
      </c>
      <c r="AW415" s="98">
        <f t="shared" si="500"/>
        <v>1</v>
      </c>
      <c r="AX415" s="191"/>
      <c r="AY415" s="195" t="s">
        <v>7</v>
      </c>
      <c r="AZ415" s="178">
        <f t="shared" si="474"/>
        <v>0.02</v>
      </c>
      <c r="BA415" s="178">
        <f t="shared" si="475"/>
        <v>1.8000000000000002E-2</v>
      </c>
      <c r="BB415" s="178">
        <f t="shared" si="476"/>
        <v>0.02</v>
      </c>
      <c r="BC415" s="178">
        <f t="shared" si="477"/>
        <v>0.02</v>
      </c>
      <c r="BD415" s="178">
        <f t="shared" si="478"/>
        <v>2.2000000000000002E-2</v>
      </c>
      <c r="BE415" s="178">
        <f t="shared" si="479"/>
        <v>2.4E-2</v>
      </c>
      <c r="BF415" s="178">
        <f t="shared" si="480"/>
        <v>0.02</v>
      </c>
      <c r="BG415" s="178">
        <f t="shared" si="481"/>
        <v>2.4E-2</v>
      </c>
      <c r="BH415" s="178">
        <f t="shared" si="482"/>
        <v>0.02</v>
      </c>
      <c r="BI415" s="191"/>
      <c r="BJ415" s="191"/>
      <c r="BK415" s="191"/>
      <c r="BL415" s="191"/>
      <c r="BM415" s="191"/>
      <c r="BN415" s="191"/>
      <c r="BO415" s="191"/>
      <c r="BP415" s="191"/>
    </row>
    <row r="416" spans="2:68" s="108" customFormat="1" x14ac:dyDescent="0.25">
      <c r="B416" s="107"/>
      <c r="E416" s="109" t="s">
        <v>3</v>
      </c>
      <c r="F416" s="110" t="s">
        <v>66</v>
      </c>
      <c r="G416" s="111" t="s">
        <v>54</v>
      </c>
      <c r="H416" s="112">
        <v>61849</v>
      </c>
      <c r="I416" s="112">
        <v>51694</v>
      </c>
      <c r="J416" s="112">
        <v>63001</v>
      </c>
      <c r="K416" s="112">
        <v>70399</v>
      </c>
      <c r="L416" s="112">
        <v>65121</v>
      </c>
      <c r="M416" s="112">
        <v>69337</v>
      </c>
      <c r="N416" s="112">
        <v>69950</v>
      </c>
      <c r="O416" s="112">
        <v>62060</v>
      </c>
      <c r="P416" s="112">
        <v>63303</v>
      </c>
      <c r="R416" s="111" t="s">
        <v>54</v>
      </c>
      <c r="S416" s="220">
        <v>4.8</v>
      </c>
      <c r="T416" s="220">
        <v>6</v>
      </c>
      <c r="U416" s="220">
        <v>5.3</v>
      </c>
      <c r="V416" s="220">
        <v>4.5999999999999996</v>
      </c>
      <c r="W416" s="220">
        <v>5.7</v>
      </c>
      <c r="X416" s="220">
        <v>6.2</v>
      </c>
      <c r="Y416" s="220">
        <v>5.8</v>
      </c>
      <c r="Z416" s="220">
        <v>7.3</v>
      </c>
      <c r="AA416" s="220">
        <v>7.5</v>
      </c>
      <c r="AC416" s="111" t="s">
        <v>54</v>
      </c>
      <c r="AD416" s="112">
        <f t="shared" si="486"/>
        <v>5937.5039999999999</v>
      </c>
      <c r="AE416" s="112">
        <f t="shared" si="467"/>
        <v>6203.28</v>
      </c>
      <c r="AF416" s="112">
        <f t="shared" si="468"/>
        <v>6678.1059999999998</v>
      </c>
      <c r="AG416" s="112">
        <f t="shared" si="469"/>
        <v>6476.7079999999996</v>
      </c>
      <c r="AH416" s="112">
        <f t="shared" si="470"/>
        <v>7423.7939999999999</v>
      </c>
      <c r="AI416" s="112">
        <f t="shared" si="471"/>
        <v>8597.7880000000005</v>
      </c>
      <c r="AJ416" s="112">
        <f t="shared" si="472"/>
        <v>8114.2</v>
      </c>
      <c r="AK416" s="112">
        <f t="shared" si="483"/>
        <v>9060.76</v>
      </c>
      <c r="AL416" s="112">
        <f t="shared" si="484"/>
        <v>9495.4500000000007</v>
      </c>
      <c r="AN416" s="111" t="s">
        <v>54</v>
      </c>
      <c r="AO416" s="113">
        <f t="shared" ref="AO416:AW416" si="501">H416/H415</f>
        <v>0.29401082890051961</v>
      </c>
      <c r="AP416" s="113">
        <f t="shared" si="501"/>
        <v>0.23156659320181333</v>
      </c>
      <c r="AQ416" s="113">
        <f t="shared" si="501"/>
        <v>0.27075776589709649</v>
      </c>
      <c r="AR416" s="113">
        <f t="shared" si="501"/>
        <v>0.28470843258501943</v>
      </c>
      <c r="AS416" s="113">
        <f t="shared" si="501"/>
        <v>0.24923454937921954</v>
      </c>
      <c r="AT416" s="113">
        <f t="shared" si="501"/>
        <v>0.2591843600478469</v>
      </c>
      <c r="AU416" s="113">
        <f t="shared" si="501"/>
        <v>0.25632569303211861</v>
      </c>
      <c r="AV416" s="113">
        <f t="shared" si="501"/>
        <v>0.22408215141974061</v>
      </c>
      <c r="AW416" s="113">
        <f t="shared" si="501"/>
        <v>0.23067000448200095</v>
      </c>
      <c r="AY416" s="111" t="s">
        <v>54</v>
      </c>
      <c r="AZ416" s="179">
        <f t="shared" si="474"/>
        <v>2.822503957444988E-2</v>
      </c>
      <c r="BA416" s="179">
        <f t="shared" si="475"/>
        <v>2.7787991184217598E-2</v>
      </c>
      <c r="BB416" s="179">
        <f t="shared" si="476"/>
        <v>2.8700323185092226E-2</v>
      </c>
      <c r="BC416" s="179">
        <f t="shared" si="477"/>
        <v>2.6193175797821783E-2</v>
      </c>
      <c r="BD416" s="179">
        <f t="shared" si="478"/>
        <v>2.8412738629231028E-2</v>
      </c>
      <c r="BE416" s="179">
        <f t="shared" si="479"/>
        <v>3.2138860645933014E-2</v>
      </c>
      <c r="BF416" s="179">
        <f t="shared" si="480"/>
        <v>2.9733780391725757E-2</v>
      </c>
      <c r="BG416" s="179">
        <f t="shared" si="481"/>
        <v>3.2715994107282126E-2</v>
      </c>
      <c r="BH416" s="179">
        <f t="shared" si="482"/>
        <v>3.4600500672300145E-2</v>
      </c>
    </row>
    <row r="417" spans="2:68" s="108" customFormat="1" x14ac:dyDescent="0.25">
      <c r="B417" s="107"/>
      <c r="E417" s="109" t="s">
        <v>3</v>
      </c>
      <c r="F417" s="110" t="s">
        <v>66</v>
      </c>
      <c r="G417" s="111" t="s">
        <v>55</v>
      </c>
      <c r="H417" s="70">
        <v>73749</v>
      </c>
      <c r="I417" s="70">
        <v>83903</v>
      </c>
      <c r="J417" s="70">
        <v>80100</v>
      </c>
      <c r="K417" s="70">
        <v>83108</v>
      </c>
      <c r="L417" s="70">
        <v>100847</v>
      </c>
      <c r="M417" s="112">
        <v>89081</v>
      </c>
      <c r="N417" s="112">
        <v>84399</v>
      </c>
      <c r="O417" s="112">
        <v>96460</v>
      </c>
      <c r="P417" s="112">
        <v>84919</v>
      </c>
      <c r="R417" s="111" t="s">
        <v>55</v>
      </c>
      <c r="S417" s="81">
        <v>4.0999999999999996</v>
      </c>
      <c r="T417" s="81">
        <v>4.4000000000000004</v>
      </c>
      <c r="U417" s="81">
        <v>4.3</v>
      </c>
      <c r="V417" s="81">
        <v>4.2</v>
      </c>
      <c r="W417" s="81">
        <v>4.3</v>
      </c>
      <c r="X417" s="81">
        <v>5.0999999999999996</v>
      </c>
      <c r="Y417" s="81">
        <v>5.2</v>
      </c>
      <c r="Z417" s="81">
        <v>5.2</v>
      </c>
      <c r="AA417" s="81">
        <v>6.1</v>
      </c>
      <c r="AC417" s="111" t="s">
        <v>55</v>
      </c>
      <c r="AD417" s="70">
        <f t="shared" si="486"/>
        <v>6047.4179999999997</v>
      </c>
      <c r="AE417" s="70">
        <f t="shared" si="467"/>
        <v>7383.4639999999999</v>
      </c>
      <c r="AF417" s="70">
        <f t="shared" si="468"/>
        <v>6888.6</v>
      </c>
      <c r="AG417" s="70">
        <f t="shared" si="469"/>
        <v>6981.072000000001</v>
      </c>
      <c r="AH417" s="70">
        <f t="shared" si="470"/>
        <v>8672.8419999999987</v>
      </c>
      <c r="AI417" s="70">
        <f t="shared" si="471"/>
        <v>9086.2619999999988</v>
      </c>
      <c r="AJ417" s="70">
        <f t="shared" si="472"/>
        <v>8777.4959999999992</v>
      </c>
      <c r="AK417" s="70">
        <f t="shared" si="483"/>
        <v>10031.84</v>
      </c>
      <c r="AL417" s="70">
        <f t="shared" si="484"/>
        <v>10360.117999999999</v>
      </c>
      <c r="AN417" s="111" t="s">
        <v>55</v>
      </c>
      <c r="AO417" s="113">
        <f t="shared" ref="AO417:AW417" si="502">H417/H415</f>
        <v>0.35057971221174827</v>
      </c>
      <c r="AP417" s="113">
        <f t="shared" si="502"/>
        <v>0.37584887742120449</v>
      </c>
      <c r="AQ417" s="113">
        <f t="shared" si="502"/>
        <v>0.34424369531209709</v>
      </c>
      <c r="AR417" s="113">
        <f t="shared" si="502"/>
        <v>0.336106314227131</v>
      </c>
      <c r="AS417" s="113">
        <f t="shared" si="502"/>
        <v>0.38596699376923194</v>
      </c>
      <c r="AT417" s="113">
        <f t="shared" si="502"/>
        <v>0.33298818779904304</v>
      </c>
      <c r="AU417" s="113">
        <f t="shared" si="502"/>
        <v>0.30927279722970374</v>
      </c>
      <c r="AV417" s="113">
        <f t="shared" si="502"/>
        <v>0.3482914006759294</v>
      </c>
      <c r="AW417" s="113">
        <f t="shared" si="502"/>
        <v>0.30943661612572926</v>
      </c>
      <c r="AY417" s="111" t="s">
        <v>55</v>
      </c>
      <c r="AZ417" s="179">
        <f t="shared" si="474"/>
        <v>2.8747536401363356E-2</v>
      </c>
      <c r="BA417" s="179">
        <f t="shared" si="475"/>
        <v>3.3074701213066E-2</v>
      </c>
      <c r="BB417" s="179">
        <f t="shared" si="476"/>
        <v>2.9604957796840348E-2</v>
      </c>
      <c r="BC417" s="179">
        <f t="shared" si="477"/>
        <v>2.8232930395079004E-2</v>
      </c>
      <c r="BD417" s="179">
        <f t="shared" si="478"/>
        <v>3.3193161464153943E-2</v>
      </c>
      <c r="BE417" s="179">
        <f t="shared" si="479"/>
        <v>3.3964795155502388E-2</v>
      </c>
      <c r="BF417" s="179">
        <f t="shared" si="480"/>
        <v>3.2164370911889194E-2</v>
      </c>
      <c r="BG417" s="179">
        <f t="shared" si="481"/>
        <v>3.6222305670296662E-2</v>
      </c>
      <c r="BH417" s="179">
        <f t="shared" si="482"/>
        <v>3.7751267167338967E-2</v>
      </c>
    </row>
    <row r="418" spans="2:68" s="108" customFormat="1" x14ac:dyDescent="0.25">
      <c r="B418" s="107"/>
      <c r="E418" s="109" t="s">
        <v>3</v>
      </c>
      <c r="F418" s="110" t="s">
        <v>66</v>
      </c>
      <c r="G418" s="111" t="s">
        <v>130</v>
      </c>
      <c r="H418" s="70">
        <v>27668</v>
      </c>
      <c r="I418" s="70">
        <v>31408</v>
      </c>
      <c r="J418" s="70">
        <v>33936</v>
      </c>
      <c r="K418" s="70">
        <v>31406</v>
      </c>
      <c r="L418" s="70">
        <v>31087</v>
      </c>
      <c r="M418" s="70">
        <v>36390</v>
      </c>
      <c r="N418" s="70">
        <v>37784</v>
      </c>
      <c r="O418" s="112">
        <v>39989</v>
      </c>
      <c r="P418" s="112">
        <v>34409</v>
      </c>
      <c r="R418" s="111" t="s">
        <v>130</v>
      </c>
      <c r="S418" s="220">
        <v>8.3000000000000007</v>
      </c>
      <c r="T418" s="220">
        <v>8.1999999999999993</v>
      </c>
      <c r="U418" s="220">
        <v>7.1</v>
      </c>
      <c r="V418" s="220">
        <v>7.7</v>
      </c>
      <c r="W418" s="220">
        <v>9.1999999999999993</v>
      </c>
      <c r="X418" s="220">
        <v>9.3000000000000007</v>
      </c>
      <c r="Y418" s="220">
        <v>9</v>
      </c>
      <c r="Z418" s="220">
        <v>9.8000000000000007</v>
      </c>
      <c r="AA418" s="220">
        <v>11.3</v>
      </c>
      <c r="AC418" s="111" t="s">
        <v>130</v>
      </c>
      <c r="AD418" s="70">
        <f t="shared" si="486"/>
        <v>4592.8880000000008</v>
      </c>
      <c r="AE418" s="70">
        <f t="shared" si="467"/>
        <v>5150.9119999999994</v>
      </c>
      <c r="AF418" s="70">
        <f t="shared" si="468"/>
        <v>4818.9119999999994</v>
      </c>
      <c r="AG418" s="70">
        <f t="shared" si="469"/>
        <v>4836.5240000000003</v>
      </c>
      <c r="AH418" s="70">
        <f t="shared" si="470"/>
        <v>5720.0079999999989</v>
      </c>
      <c r="AI418" s="70">
        <f t="shared" si="471"/>
        <v>6768.54</v>
      </c>
      <c r="AJ418" s="70">
        <f t="shared" si="472"/>
        <v>6801.12</v>
      </c>
      <c r="AK418" s="70">
        <f t="shared" si="483"/>
        <v>7837.8440000000001</v>
      </c>
      <c r="AL418" s="70">
        <f t="shared" si="484"/>
        <v>7776.4340000000002</v>
      </c>
      <c r="AN418" s="111" t="s">
        <v>130</v>
      </c>
      <c r="AO418" s="113">
        <f t="shared" ref="AO418:AW418" si="503">H418/H415</f>
        <v>0.1315250305424433</v>
      </c>
      <c r="AP418" s="113">
        <f t="shared" si="503"/>
        <v>0.14069415327276963</v>
      </c>
      <c r="AQ418" s="113">
        <f t="shared" si="503"/>
        <v>0.14584586821612144</v>
      </c>
      <c r="AR418" s="113">
        <f t="shared" si="503"/>
        <v>0.12701250065718434</v>
      </c>
      <c r="AS418" s="113">
        <f t="shared" si="503"/>
        <v>0.11897781724100978</v>
      </c>
      <c r="AT418" s="113">
        <f t="shared" si="503"/>
        <v>0.1360272129186603</v>
      </c>
      <c r="AU418" s="113">
        <f t="shared" si="503"/>
        <v>0.13845618278092306</v>
      </c>
      <c r="AV418" s="113">
        <f t="shared" si="503"/>
        <v>0.14438964152632947</v>
      </c>
      <c r="AW418" s="113">
        <f t="shared" si="503"/>
        <v>0.12538306532425272</v>
      </c>
      <c r="AY418" s="111" t="s">
        <v>130</v>
      </c>
      <c r="AZ418" s="179">
        <f t="shared" si="474"/>
        <v>2.1833155070045591E-2</v>
      </c>
      <c r="BA418" s="179">
        <f t="shared" si="475"/>
        <v>2.3073841136734215E-2</v>
      </c>
      <c r="BB418" s="179">
        <f t="shared" si="476"/>
        <v>2.0710113286689244E-2</v>
      </c>
      <c r="BC418" s="179">
        <f t="shared" si="477"/>
        <v>1.9559925101206389E-2</v>
      </c>
      <c r="BD418" s="179">
        <f t="shared" si="478"/>
        <v>2.18919183723458E-2</v>
      </c>
      <c r="BE418" s="179">
        <f t="shared" si="479"/>
        <v>2.5301061602870819E-2</v>
      </c>
      <c r="BF418" s="179">
        <f t="shared" si="480"/>
        <v>2.4922112900566149E-2</v>
      </c>
      <c r="BG418" s="179">
        <f t="shared" si="481"/>
        <v>2.8300369739160579E-2</v>
      </c>
      <c r="BH418" s="179">
        <f t="shared" si="482"/>
        <v>2.8336572763281116E-2</v>
      </c>
    </row>
    <row r="419" spans="2:68" s="108" customFormat="1" x14ac:dyDescent="0.25">
      <c r="B419" s="107"/>
      <c r="E419" s="109" t="s">
        <v>3</v>
      </c>
      <c r="F419" s="110" t="s">
        <v>66</v>
      </c>
      <c r="G419" s="111" t="s">
        <v>131</v>
      </c>
      <c r="H419" s="112">
        <v>47098</v>
      </c>
      <c r="I419" s="112">
        <v>56213</v>
      </c>
      <c r="J419" s="112">
        <v>55575</v>
      </c>
      <c r="K419" s="112">
        <v>62219</v>
      </c>
      <c r="L419" s="112">
        <v>64229</v>
      </c>
      <c r="M419" s="112">
        <v>72711</v>
      </c>
      <c r="N419" s="112">
        <v>80762</v>
      </c>
      <c r="O419" s="112">
        <v>78443</v>
      </c>
      <c r="P419" s="112">
        <v>91800</v>
      </c>
      <c r="R419" s="111" t="s">
        <v>131</v>
      </c>
      <c r="S419" s="220">
        <v>5.5</v>
      </c>
      <c r="T419" s="220">
        <v>5.5</v>
      </c>
      <c r="U419" s="220">
        <v>5.8</v>
      </c>
      <c r="V419" s="220">
        <v>5</v>
      </c>
      <c r="W419" s="220">
        <v>5.7</v>
      </c>
      <c r="X419" s="220">
        <v>6</v>
      </c>
      <c r="Y419" s="220">
        <v>5.0999999999999996</v>
      </c>
      <c r="Z419" s="220">
        <v>6.3</v>
      </c>
      <c r="AA419" s="220">
        <v>5.7</v>
      </c>
      <c r="AC419" s="111" t="s">
        <v>131</v>
      </c>
      <c r="AD419" s="112">
        <f t="shared" si="486"/>
        <v>5180.78</v>
      </c>
      <c r="AE419" s="112">
        <f t="shared" si="467"/>
        <v>6183.43</v>
      </c>
      <c r="AF419" s="112">
        <f t="shared" si="468"/>
        <v>6446.7</v>
      </c>
      <c r="AG419" s="112">
        <f t="shared" si="469"/>
        <v>6221.9</v>
      </c>
      <c r="AH419" s="112">
        <f t="shared" si="470"/>
        <v>7322.1059999999998</v>
      </c>
      <c r="AI419" s="112">
        <f t="shared" si="471"/>
        <v>8725.32</v>
      </c>
      <c r="AJ419" s="112">
        <f t="shared" si="472"/>
        <v>8237.7239999999983</v>
      </c>
      <c r="AK419" s="112">
        <f t="shared" si="483"/>
        <v>9883.8179999999993</v>
      </c>
      <c r="AL419" s="112">
        <f t="shared" si="484"/>
        <v>10465.200000000001</v>
      </c>
      <c r="AN419" s="111" t="s">
        <v>131</v>
      </c>
      <c r="AO419" s="113">
        <f t="shared" ref="AO419:AW419" si="504">H419/H415</f>
        <v>0.22388918203296207</v>
      </c>
      <c r="AP419" s="113">
        <f t="shared" si="504"/>
        <v>0.25180974394810873</v>
      </c>
      <c r="AQ419" s="113">
        <f t="shared" si="504"/>
        <v>0.23884323803957297</v>
      </c>
      <c r="AR419" s="113">
        <f t="shared" si="504"/>
        <v>0.25162678400271771</v>
      </c>
      <c r="AS419" s="113">
        <f t="shared" si="504"/>
        <v>0.24582063961053871</v>
      </c>
      <c r="AT419" s="113">
        <f t="shared" si="504"/>
        <v>0.27179650119617227</v>
      </c>
      <c r="AU419" s="113">
        <f t="shared" si="504"/>
        <v>0.29594532695725462</v>
      </c>
      <c r="AV419" s="113">
        <f t="shared" si="504"/>
        <v>0.28323680637800053</v>
      </c>
      <c r="AW419" s="113">
        <f t="shared" si="504"/>
        <v>0.33451031406801712</v>
      </c>
      <c r="AY419" s="111" t="s">
        <v>131</v>
      </c>
      <c r="AZ419" s="179">
        <f t="shared" si="474"/>
        <v>2.4627810023625827E-2</v>
      </c>
      <c r="BA419" s="179">
        <f t="shared" si="475"/>
        <v>2.7699071834291961E-2</v>
      </c>
      <c r="BB419" s="179">
        <f t="shared" si="476"/>
        <v>2.7705815612590463E-2</v>
      </c>
      <c r="BC419" s="179">
        <f t="shared" si="477"/>
        <v>2.5162678400271771E-2</v>
      </c>
      <c r="BD419" s="179">
        <f t="shared" si="478"/>
        <v>2.8023552915601414E-2</v>
      </c>
      <c r="BE419" s="179">
        <f t="shared" si="479"/>
        <v>3.2615580143540671E-2</v>
      </c>
      <c r="BF419" s="179">
        <f t="shared" si="480"/>
        <v>3.0186423349639967E-2</v>
      </c>
      <c r="BG419" s="179">
        <f t="shared" si="481"/>
        <v>3.5687837603628064E-2</v>
      </c>
      <c r="BH419" s="179">
        <f t="shared" si="482"/>
        <v>3.8134175803753952E-2</v>
      </c>
    </row>
    <row r="420" spans="2:68" s="87" customFormat="1" x14ac:dyDescent="0.25">
      <c r="B420" s="84"/>
      <c r="C420" s="85"/>
      <c r="D420" s="85"/>
      <c r="E420" s="109" t="s">
        <v>45</v>
      </c>
      <c r="F420" s="110" t="s">
        <v>66</v>
      </c>
      <c r="G420" s="195" t="s">
        <v>7</v>
      </c>
      <c r="H420" s="69">
        <v>135903</v>
      </c>
      <c r="I420" s="69">
        <v>132119</v>
      </c>
      <c r="J420" s="69">
        <v>133317</v>
      </c>
      <c r="K420" s="69">
        <v>134334</v>
      </c>
      <c r="L420" s="69">
        <v>137327</v>
      </c>
      <c r="M420" s="69">
        <v>140851</v>
      </c>
      <c r="N420" s="69">
        <v>147338</v>
      </c>
      <c r="O420" s="69">
        <v>151749</v>
      </c>
      <c r="P420" s="69">
        <v>161387</v>
      </c>
      <c r="R420" s="195" t="s">
        <v>7</v>
      </c>
      <c r="S420" s="226">
        <v>1.2</v>
      </c>
      <c r="T420" s="226">
        <v>1.2</v>
      </c>
      <c r="U420" s="226">
        <v>1.3</v>
      </c>
      <c r="V420" s="226">
        <v>1.3</v>
      </c>
      <c r="W420" s="226">
        <v>1.4</v>
      </c>
      <c r="X420" s="226">
        <v>1.5</v>
      </c>
      <c r="Y420" s="226">
        <v>1.6</v>
      </c>
      <c r="Z420" s="226">
        <v>1.6</v>
      </c>
      <c r="AA420" s="226">
        <v>1.5</v>
      </c>
      <c r="AC420" s="195" t="s">
        <v>7</v>
      </c>
      <c r="AD420" s="69">
        <f t="shared" si="486"/>
        <v>3261.672</v>
      </c>
      <c r="AE420" s="69">
        <f t="shared" si="467"/>
        <v>3170.8559999999998</v>
      </c>
      <c r="AF420" s="69">
        <f t="shared" si="468"/>
        <v>3466.2420000000002</v>
      </c>
      <c r="AG420" s="69">
        <f t="shared" si="469"/>
        <v>3492.6840000000002</v>
      </c>
      <c r="AH420" s="69">
        <f t="shared" si="470"/>
        <v>3845.1559999999999</v>
      </c>
      <c r="AI420" s="69">
        <f t="shared" si="471"/>
        <v>4225.53</v>
      </c>
      <c r="AJ420" s="69">
        <f t="shared" si="472"/>
        <v>4714.8160000000007</v>
      </c>
      <c r="AK420" s="69">
        <f t="shared" si="483"/>
        <v>4855.9680000000008</v>
      </c>
      <c r="AL420" s="69">
        <f t="shared" si="484"/>
        <v>4841.6099999999997</v>
      </c>
      <c r="AN420" s="195" t="s">
        <v>7</v>
      </c>
      <c r="AO420" s="98">
        <f t="shared" ref="AO420:AW420" si="505">H420/H420</f>
        <v>1</v>
      </c>
      <c r="AP420" s="98">
        <f t="shared" si="505"/>
        <v>1</v>
      </c>
      <c r="AQ420" s="98">
        <f t="shared" si="505"/>
        <v>1</v>
      </c>
      <c r="AR420" s="98">
        <f t="shared" si="505"/>
        <v>1</v>
      </c>
      <c r="AS420" s="98">
        <f t="shared" si="505"/>
        <v>1</v>
      </c>
      <c r="AT420" s="98">
        <f t="shared" si="505"/>
        <v>1</v>
      </c>
      <c r="AU420" s="98">
        <f t="shared" si="505"/>
        <v>1</v>
      </c>
      <c r="AV420" s="98">
        <f t="shared" si="505"/>
        <v>1</v>
      </c>
      <c r="AW420" s="98">
        <f t="shared" si="505"/>
        <v>1</v>
      </c>
      <c r="AX420" s="191"/>
      <c r="AY420" s="195" t="s">
        <v>7</v>
      </c>
      <c r="AZ420" s="178">
        <f t="shared" si="474"/>
        <v>2.4E-2</v>
      </c>
      <c r="BA420" s="178">
        <f t="shared" si="475"/>
        <v>2.4E-2</v>
      </c>
      <c r="BB420" s="178">
        <f t="shared" si="476"/>
        <v>2.6000000000000002E-2</v>
      </c>
      <c r="BC420" s="178">
        <f t="shared" si="477"/>
        <v>2.6000000000000002E-2</v>
      </c>
      <c r="BD420" s="178">
        <f t="shared" si="478"/>
        <v>2.7999999999999997E-2</v>
      </c>
      <c r="BE420" s="178">
        <f t="shared" si="479"/>
        <v>0.03</v>
      </c>
      <c r="BF420" s="178">
        <f t="shared" si="480"/>
        <v>3.2000000000000001E-2</v>
      </c>
      <c r="BG420" s="178">
        <f t="shared" si="481"/>
        <v>3.2000000000000001E-2</v>
      </c>
      <c r="BH420" s="178">
        <f t="shared" si="482"/>
        <v>0.03</v>
      </c>
      <c r="BI420" s="191"/>
      <c r="BJ420" s="191"/>
      <c r="BK420" s="191"/>
      <c r="BL420" s="191"/>
      <c r="BM420" s="191"/>
      <c r="BN420" s="191"/>
      <c r="BO420" s="191"/>
      <c r="BP420" s="191"/>
    </row>
    <row r="421" spans="2:68" s="108" customFormat="1" x14ac:dyDescent="0.25">
      <c r="B421" s="107"/>
      <c r="E421" s="109" t="s">
        <v>45</v>
      </c>
      <c r="F421" s="110" t="s">
        <v>66</v>
      </c>
      <c r="G421" s="111" t="s">
        <v>54</v>
      </c>
      <c r="H421" s="112">
        <v>14013</v>
      </c>
      <c r="I421" s="112">
        <v>13459</v>
      </c>
      <c r="J421" s="112">
        <v>15221</v>
      </c>
      <c r="K421" s="112">
        <v>18426</v>
      </c>
      <c r="L421" s="112">
        <v>16826</v>
      </c>
      <c r="M421" s="112">
        <v>15114</v>
      </c>
      <c r="N421" s="112">
        <v>15137</v>
      </c>
      <c r="O421" s="112">
        <v>20626</v>
      </c>
      <c r="P421" s="112">
        <v>21875</v>
      </c>
      <c r="R421" s="111" t="s">
        <v>54</v>
      </c>
      <c r="S421" s="220">
        <v>10.9</v>
      </c>
      <c r="T421" s="220">
        <v>12.5</v>
      </c>
      <c r="U421" s="220">
        <v>11.6</v>
      </c>
      <c r="V421" s="220">
        <v>10</v>
      </c>
      <c r="W421" s="220">
        <v>12.6</v>
      </c>
      <c r="X421" s="220">
        <v>13.8</v>
      </c>
      <c r="Y421" s="220">
        <v>13.7</v>
      </c>
      <c r="Z421" s="220">
        <v>13.4</v>
      </c>
      <c r="AA421" s="220">
        <v>13.5</v>
      </c>
      <c r="AC421" s="111" t="s">
        <v>54</v>
      </c>
      <c r="AD421" s="112">
        <f t="shared" si="486"/>
        <v>3054.8340000000003</v>
      </c>
      <c r="AE421" s="112">
        <f t="shared" si="467"/>
        <v>3364.75</v>
      </c>
      <c r="AF421" s="112">
        <f t="shared" si="468"/>
        <v>3531.2719999999999</v>
      </c>
      <c r="AG421" s="112">
        <f t="shared" si="469"/>
        <v>3685.2</v>
      </c>
      <c r="AH421" s="112">
        <f t="shared" si="470"/>
        <v>4240.152</v>
      </c>
      <c r="AI421" s="112">
        <f t="shared" si="471"/>
        <v>4171.4639999999999</v>
      </c>
      <c r="AJ421" s="112">
        <f t="shared" si="472"/>
        <v>4147.5379999999996</v>
      </c>
      <c r="AK421" s="112">
        <f t="shared" si="483"/>
        <v>5527.768</v>
      </c>
      <c r="AL421" s="112">
        <f t="shared" si="484"/>
        <v>5906.25</v>
      </c>
      <c r="AN421" s="111" t="s">
        <v>54</v>
      </c>
      <c r="AO421" s="113">
        <f t="shared" ref="AO421:AW421" si="506">H421/H420</f>
        <v>0.10311030661574799</v>
      </c>
      <c r="AP421" s="113">
        <f t="shared" si="506"/>
        <v>0.10187028360795949</v>
      </c>
      <c r="AQ421" s="113">
        <f t="shared" si="506"/>
        <v>0.11417148600703586</v>
      </c>
      <c r="AR421" s="113">
        <f t="shared" si="506"/>
        <v>0.13716557237929342</v>
      </c>
      <c r="AS421" s="113">
        <f t="shared" si="506"/>
        <v>0.12252506790361692</v>
      </c>
      <c r="AT421" s="113">
        <f t="shared" si="506"/>
        <v>0.10730488246444825</v>
      </c>
      <c r="AU421" s="113">
        <f t="shared" si="506"/>
        <v>0.102736564905184</v>
      </c>
      <c r="AV421" s="113">
        <f t="shared" si="506"/>
        <v>0.13592181826568875</v>
      </c>
      <c r="AW421" s="113">
        <f t="shared" si="506"/>
        <v>0.13554375507320912</v>
      </c>
      <c r="AY421" s="111" t="s">
        <v>54</v>
      </c>
      <c r="AZ421" s="179">
        <f t="shared" si="474"/>
        <v>2.2478046842233063E-2</v>
      </c>
      <c r="BA421" s="179">
        <f t="shared" si="475"/>
        <v>2.5467570901989874E-2</v>
      </c>
      <c r="BB421" s="179">
        <f t="shared" si="476"/>
        <v>2.648778475363232E-2</v>
      </c>
      <c r="BC421" s="179">
        <f t="shared" si="477"/>
        <v>2.743311447585868E-2</v>
      </c>
      <c r="BD421" s="179">
        <f t="shared" si="478"/>
        <v>3.0876317111711463E-2</v>
      </c>
      <c r="BE421" s="179">
        <f t="shared" si="479"/>
        <v>2.9616147560187722E-2</v>
      </c>
      <c r="BF421" s="179">
        <f t="shared" si="480"/>
        <v>2.8149818784020411E-2</v>
      </c>
      <c r="BG421" s="179">
        <f t="shared" si="481"/>
        <v>3.6427047295204587E-2</v>
      </c>
      <c r="BH421" s="179">
        <f t="shared" si="482"/>
        <v>3.6596813869766459E-2</v>
      </c>
    </row>
    <row r="422" spans="2:68" s="108" customFormat="1" x14ac:dyDescent="0.25">
      <c r="B422" s="107"/>
      <c r="E422" s="109" t="s">
        <v>45</v>
      </c>
      <c r="F422" s="110" t="s">
        <v>66</v>
      </c>
      <c r="G422" s="111" t="s">
        <v>55</v>
      </c>
      <c r="H422" s="70">
        <v>57119</v>
      </c>
      <c r="I422" s="70">
        <v>55220</v>
      </c>
      <c r="J422" s="70">
        <v>58585</v>
      </c>
      <c r="K422" s="70">
        <v>54384</v>
      </c>
      <c r="L422" s="70">
        <v>56344</v>
      </c>
      <c r="M422" s="112">
        <v>60688</v>
      </c>
      <c r="N422" s="112">
        <v>64578</v>
      </c>
      <c r="O422" s="112">
        <v>66386</v>
      </c>
      <c r="P422" s="112">
        <v>69183</v>
      </c>
      <c r="R422" s="111" t="s">
        <v>55</v>
      </c>
      <c r="S422" s="81">
        <v>5.7</v>
      </c>
      <c r="T422" s="81">
        <v>5</v>
      </c>
      <c r="U422" s="81">
        <v>4.8</v>
      </c>
      <c r="V422" s="81">
        <v>4.9000000000000004</v>
      </c>
      <c r="W422" s="81">
        <v>5.5</v>
      </c>
      <c r="X422" s="81">
        <v>5.8</v>
      </c>
      <c r="Y422" s="81">
        <v>5.6</v>
      </c>
      <c r="Z422" s="81">
        <v>6.1</v>
      </c>
      <c r="AA422" s="81">
        <v>6.2</v>
      </c>
      <c r="AC422" s="111" t="s">
        <v>55</v>
      </c>
      <c r="AD422" s="70">
        <f t="shared" si="486"/>
        <v>6511.5659999999998</v>
      </c>
      <c r="AE422" s="70">
        <f t="shared" si="467"/>
        <v>5522</v>
      </c>
      <c r="AF422" s="70">
        <f t="shared" si="468"/>
        <v>5624.16</v>
      </c>
      <c r="AG422" s="70">
        <f t="shared" si="469"/>
        <v>5329.6320000000005</v>
      </c>
      <c r="AH422" s="70">
        <f t="shared" si="470"/>
        <v>6197.84</v>
      </c>
      <c r="AI422" s="70">
        <f t="shared" si="471"/>
        <v>7039.8079999999991</v>
      </c>
      <c r="AJ422" s="70">
        <f t="shared" si="472"/>
        <v>7232.7359999999999</v>
      </c>
      <c r="AK422" s="70">
        <f t="shared" si="483"/>
        <v>8099.0919999999996</v>
      </c>
      <c r="AL422" s="70">
        <f t="shared" si="484"/>
        <v>8578.6920000000009</v>
      </c>
      <c r="AN422" s="111" t="s">
        <v>55</v>
      </c>
      <c r="AO422" s="113">
        <f t="shared" ref="AO422:AW422" si="507">H422/H420</f>
        <v>0.42029241444265397</v>
      </c>
      <c r="AP422" s="113">
        <f t="shared" si="507"/>
        <v>0.41795653918058717</v>
      </c>
      <c r="AQ422" s="113">
        <f t="shared" si="507"/>
        <v>0.43944133156311649</v>
      </c>
      <c r="AR422" s="113">
        <f t="shared" si="507"/>
        <v>0.40484166331680738</v>
      </c>
      <c r="AS422" s="113">
        <f t="shared" si="507"/>
        <v>0.41029076583628854</v>
      </c>
      <c r="AT422" s="113">
        <f t="shared" si="507"/>
        <v>0.4308666605135924</v>
      </c>
      <c r="AU422" s="113">
        <f t="shared" si="507"/>
        <v>0.43829833444189553</v>
      </c>
      <c r="AV422" s="113">
        <f t="shared" si="507"/>
        <v>0.43747240508998414</v>
      </c>
      <c r="AW422" s="113">
        <f t="shared" si="507"/>
        <v>0.42867765061622065</v>
      </c>
      <c r="AY422" s="111" t="s">
        <v>55</v>
      </c>
      <c r="AZ422" s="179">
        <f t="shared" si="474"/>
        <v>4.7913335246462553E-2</v>
      </c>
      <c r="BA422" s="179">
        <f t="shared" si="475"/>
        <v>4.1795653918058714E-2</v>
      </c>
      <c r="BB422" s="179">
        <f t="shared" si="476"/>
        <v>4.2186367830059177E-2</v>
      </c>
      <c r="BC422" s="179">
        <f t="shared" si="477"/>
        <v>3.9674483005047126E-2</v>
      </c>
      <c r="BD422" s="179">
        <f t="shared" si="478"/>
        <v>4.5131984241991739E-2</v>
      </c>
      <c r="BE422" s="179">
        <f t="shared" si="479"/>
        <v>4.9980532619576717E-2</v>
      </c>
      <c r="BF422" s="179">
        <f t="shared" si="480"/>
        <v>4.9089413457492299E-2</v>
      </c>
      <c r="BG422" s="179">
        <f t="shared" si="481"/>
        <v>5.3371633420978067E-2</v>
      </c>
      <c r="BH422" s="179">
        <f t="shared" si="482"/>
        <v>5.3156028676411358E-2</v>
      </c>
    </row>
    <row r="423" spans="2:68" s="108" customFormat="1" x14ac:dyDescent="0.25">
      <c r="B423" s="107"/>
      <c r="E423" s="109" t="s">
        <v>45</v>
      </c>
      <c r="F423" s="110" t="s">
        <v>66</v>
      </c>
      <c r="G423" s="111" t="s">
        <v>130</v>
      </c>
      <c r="H423" s="70">
        <v>14514</v>
      </c>
      <c r="I423" s="70">
        <v>16527</v>
      </c>
      <c r="J423" s="70">
        <v>15820</v>
      </c>
      <c r="K423" s="70">
        <v>14210</v>
      </c>
      <c r="L423" s="70">
        <v>16907</v>
      </c>
      <c r="M423" s="70">
        <v>18302</v>
      </c>
      <c r="N423" s="70">
        <v>18863</v>
      </c>
      <c r="O423" s="112">
        <v>19272</v>
      </c>
      <c r="P423" s="112">
        <v>22990</v>
      </c>
      <c r="R423" s="111" t="s">
        <v>130</v>
      </c>
      <c r="S423" s="220">
        <v>10.9</v>
      </c>
      <c r="T423" s="220">
        <v>11.3</v>
      </c>
      <c r="U423" s="220">
        <v>11.2</v>
      </c>
      <c r="V423" s="220">
        <v>11.3</v>
      </c>
      <c r="W423" s="220">
        <v>12.6</v>
      </c>
      <c r="X423" s="220">
        <v>13</v>
      </c>
      <c r="Y423" s="220">
        <v>12.5</v>
      </c>
      <c r="Z423" s="220">
        <v>15.4</v>
      </c>
      <c r="AA423" s="220">
        <v>13.5</v>
      </c>
      <c r="AC423" s="111" t="s">
        <v>130</v>
      </c>
      <c r="AD423" s="70">
        <f t="shared" si="486"/>
        <v>3164.0520000000001</v>
      </c>
      <c r="AE423" s="70">
        <f t="shared" si="467"/>
        <v>3735.1020000000003</v>
      </c>
      <c r="AF423" s="70">
        <f t="shared" si="468"/>
        <v>3543.68</v>
      </c>
      <c r="AG423" s="70">
        <f t="shared" si="469"/>
        <v>3211.46</v>
      </c>
      <c r="AH423" s="70">
        <f t="shared" si="470"/>
        <v>4260.5639999999994</v>
      </c>
      <c r="AI423" s="70">
        <f t="shared" si="471"/>
        <v>4758.5200000000004</v>
      </c>
      <c r="AJ423" s="70">
        <f t="shared" si="472"/>
        <v>4715.75</v>
      </c>
      <c r="AK423" s="70">
        <f t="shared" si="483"/>
        <v>5935.7759999999998</v>
      </c>
      <c r="AL423" s="70">
        <f t="shared" si="484"/>
        <v>6207.3</v>
      </c>
      <c r="AN423" s="111" t="s">
        <v>130</v>
      </c>
      <c r="AO423" s="113">
        <f t="shared" ref="AO423:AW423" si="508">H423/H420</f>
        <v>0.1067967594534337</v>
      </c>
      <c r="AP423" s="113">
        <f t="shared" si="508"/>
        <v>0.12509177332556257</v>
      </c>
      <c r="AQ423" s="113">
        <f t="shared" si="508"/>
        <v>0.1186645364057097</v>
      </c>
      <c r="AR423" s="113">
        <f t="shared" si="508"/>
        <v>0.1057811127488201</v>
      </c>
      <c r="AS423" s="113">
        <f t="shared" si="508"/>
        <v>0.12311490092989726</v>
      </c>
      <c r="AT423" s="113">
        <f t="shared" si="508"/>
        <v>0.12993872957948471</v>
      </c>
      <c r="AU423" s="113">
        <f t="shared" si="508"/>
        <v>0.12802535666291112</v>
      </c>
      <c r="AV423" s="113">
        <f t="shared" si="508"/>
        <v>0.12699918945100133</v>
      </c>
      <c r="AW423" s="113">
        <f t="shared" si="508"/>
        <v>0.14245261390322642</v>
      </c>
      <c r="AY423" s="111" t="s">
        <v>130</v>
      </c>
      <c r="AZ423" s="179">
        <f t="shared" si="474"/>
        <v>2.3281693560848547E-2</v>
      </c>
      <c r="BA423" s="179">
        <f t="shared" si="475"/>
        <v>2.8270740771577142E-2</v>
      </c>
      <c r="BB423" s="179">
        <f t="shared" si="476"/>
        <v>2.6580856154878974E-2</v>
      </c>
      <c r="BC423" s="179">
        <f t="shared" si="477"/>
        <v>2.3906531481233343E-2</v>
      </c>
      <c r="BD423" s="179">
        <f t="shared" si="478"/>
        <v>3.1024955034334108E-2</v>
      </c>
      <c r="BE423" s="179">
        <f t="shared" si="479"/>
        <v>3.3784069690666024E-2</v>
      </c>
      <c r="BF423" s="179">
        <f t="shared" si="480"/>
        <v>3.200633916572778E-2</v>
      </c>
      <c r="BG423" s="179">
        <f t="shared" si="481"/>
        <v>3.9115750350908411E-2</v>
      </c>
      <c r="BH423" s="179">
        <f t="shared" si="482"/>
        <v>3.8462205753871131E-2</v>
      </c>
    </row>
    <row r="424" spans="2:68" s="108" customFormat="1" x14ac:dyDescent="0.25">
      <c r="B424" s="107"/>
      <c r="E424" s="109" t="s">
        <v>45</v>
      </c>
      <c r="F424" s="110" t="s">
        <v>66</v>
      </c>
      <c r="G424" s="111" t="s">
        <v>131</v>
      </c>
      <c r="H424" s="112">
        <v>50257</v>
      </c>
      <c r="I424" s="112">
        <v>46896</v>
      </c>
      <c r="J424" s="112">
        <v>43344</v>
      </c>
      <c r="K424" s="112">
        <v>46950</v>
      </c>
      <c r="L424" s="112">
        <v>47250</v>
      </c>
      <c r="M424" s="112">
        <v>46747</v>
      </c>
      <c r="N424" s="112">
        <v>48761</v>
      </c>
      <c r="O424" s="112">
        <v>45465</v>
      </c>
      <c r="P424" s="112">
        <v>47339</v>
      </c>
      <c r="R424" s="111" t="s">
        <v>131</v>
      </c>
      <c r="S424" s="220">
        <v>4.9000000000000004</v>
      </c>
      <c r="T424" s="220">
        <v>5.7</v>
      </c>
      <c r="U424" s="220">
        <v>6.1</v>
      </c>
      <c r="V424" s="220">
        <v>5.4</v>
      </c>
      <c r="W424" s="220">
        <v>6.4</v>
      </c>
      <c r="X424" s="220">
        <v>7.2</v>
      </c>
      <c r="Y424" s="220">
        <v>6.6</v>
      </c>
      <c r="Z424" s="220">
        <v>7.9</v>
      </c>
      <c r="AA424" s="220">
        <v>8.6999999999999993</v>
      </c>
      <c r="AC424" s="111" t="s">
        <v>131</v>
      </c>
      <c r="AD424" s="112">
        <f t="shared" si="486"/>
        <v>4925.1860000000006</v>
      </c>
      <c r="AE424" s="112">
        <f t="shared" si="467"/>
        <v>5346.1440000000002</v>
      </c>
      <c r="AF424" s="112">
        <f t="shared" si="468"/>
        <v>5287.9679999999989</v>
      </c>
      <c r="AG424" s="112">
        <f t="shared" si="469"/>
        <v>5070.6000000000004</v>
      </c>
      <c r="AH424" s="112">
        <f t="shared" si="470"/>
        <v>6048</v>
      </c>
      <c r="AI424" s="112">
        <f t="shared" si="471"/>
        <v>6731.5680000000002</v>
      </c>
      <c r="AJ424" s="112">
        <f t="shared" si="472"/>
        <v>6436.4519999999993</v>
      </c>
      <c r="AK424" s="112">
        <f t="shared" si="483"/>
        <v>7183.47</v>
      </c>
      <c r="AL424" s="112">
        <f t="shared" si="484"/>
        <v>8236.985999999999</v>
      </c>
      <c r="AN424" s="111" t="s">
        <v>131</v>
      </c>
      <c r="AO424" s="113">
        <f t="shared" ref="AO424:AW424" si="509">H424/H420</f>
        <v>0.36980051948816434</v>
      </c>
      <c r="AP424" s="113">
        <f t="shared" si="509"/>
        <v>0.35495273200675148</v>
      </c>
      <c r="AQ424" s="113">
        <f t="shared" si="509"/>
        <v>0.32511982717882942</v>
      </c>
      <c r="AR424" s="113">
        <f t="shared" si="509"/>
        <v>0.34950198758318818</v>
      </c>
      <c r="AS424" s="113">
        <f t="shared" si="509"/>
        <v>0.34406926533019727</v>
      </c>
      <c r="AT424" s="113">
        <f t="shared" si="509"/>
        <v>0.33188972744247469</v>
      </c>
      <c r="AU424" s="113">
        <f t="shared" si="509"/>
        <v>0.33094653110534961</v>
      </c>
      <c r="AV424" s="113">
        <f t="shared" si="509"/>
        <v>0.29960658719332584</v>
      </c>
      <c r="AW424" s="113">
        <f t="shared" si="509"/>
        <v>0.29332598040734381</v>
      </c>
      <c r="AY424" s="111" t="s">
        <v>131</v>
      </c>
      <c r="AZ424" s="179">
        <f t="shared" si="474"/>
        <v>3.6240450909840106E-2</v>
      </c>
      <c r="BA424" s="179">
        <f t="shared" si="475"/>
        <v>4.0464611448769672E-2</v>
      </c>
      <c r="BB424" s="179">
        <f t="shared" si="476"/>
        <v>3.9664618915817192E-2</v>
      </c>
      <c r="BC424" s="179">
        <f t="shared" si="477"/>
        <v>3.7746214658984326E-2</v>
      </c>
      <c r="BD424" s="179">
        <f t="shared" si="478"/>
        <v>4.4040865962265252E-2</v>
      </c>
      <c r="BE424" s="179">
        <f t="shared" si="479"/>
        <v>4.7792120751716356E-2</v>
      </c>
      <c r="BF424" s="179">
        <f t="shared" si="480"/>
        <v>4.3684942105906142E-2</v>
      </c>
      <c r="BG424" s="179">
        <f t="shared" si="481"/>
        <v>4.7337840776545487E-2</v>
      </c>
      <c r="BH424" s="179">
        <f t="shared" si="482"/>
        <v>5.1038720590877815E-2</v>
      </c>
    </row>
    <row r="425" spans="2:68" s="87" customFormat="1" x14ac:dyDescent="0.25">
      <c r="B425" s="84"/>
      <c r="C425" s="85"/>
      <c r="D425" s="85"/>
      <c r="E425" s="109" t="s">
        <v>46</v>
      </c>
      <c r="F425" s="110" t="s">
        <v>66</v>
      </c>
      <c r="G425" s="195" t="s">
        <v>7</v>
      </c>
      <c r="H425" s="69">
        <v>805994</v>
      </c>
      <c r="I425" s="69">
        <v>799911</v>
      </c>
      <c r="J425" s="69">
        <v>787764</v>
      </c>
      <c r="K425" s="69">
        <v>796206</v>
      </c>
      <c r="L425" s="69">
        <v>822120</v>
      </c>
      <c r="M425" s="69">
        <v>842279</v>
      </c>
      <c r="N425" s="69">
        <v>875543</v>
      </c>
      <c r="O425" s="69">
        <v>898252</v>
      </c>
      <c r="P425" s="69">
        <v>914819</v>
      </c>
      <c r="R425" s="195" t="s">
        <v>7</v>
      </c>
      <c r="S425" s="226">
        <v>0.6</v>
      </c>
      <c r="T425" s="226">
        <v>0.7</v>
      </c>
      <c r="U425" s="226">
        <v>0.6</v>
      </c>
      <c r="V425" s="226">
        <v>0.6</v>
      </c>
      <c r="W425" s="226">
        <v>0.7</v>
      </c>
      <c r="X425" s="226">
        <v>0.7</v>
      </c>
      <c r="Y425" s="226">
        <v>0.6</v>
      </c>
      <c r="Z425" s="226">
        <v>0.7</v>
      </c>
      <c r="AA425" s="226">
        <v>0.9</v>
      </c>
      <c r="AC425" s="195" t="s">
        <v>7</v>
      </c>
      <c r="AD425" s="69">
        <f t="shared" si="486"/>
        <v>9671.9279999999999</v>
      </c>
      <c r="AE425" s="69">
        <f t="shared" si="467"/>
        <v>11198.753999999999</v>
      </c>
      <c r="AF425" s="69">
        <f t="shared" si="468"/>
        <v>9453.1679999999997</v>
      </c>
      <c r="AG425" s="69">
        <f t="shared" si="469"/>
        <v>9554.4719999999998</v>
      </c>
      <c r="AH425" s="69">
        <f t="shared" si="470"/>
        <v>11509.68</v>
      </c>
      <c r="AI425" s="69">
        <f t="shared" si="471"/>
        <v>11791.905999999999</v>
      </c>
      <c r="AJ425" s="69">
        <f t="shared" si="472"/>
        <v>10506.515999999998</v>
      </c>
      <c r="AK425" s="69">
        <f t="shared" si="483"/>
        <v>12575.527999999998</v>
      </c>
      <c r="AL425" s="69">
        <f t="shared" si="484"/>
        <v>16466.741999999998</v>
      </c>
      <c r="AN425" s="195" t="s">
        <v>7</v>
      </c>
      <c r="AO425" s="98">
        <f t="shared" ref="AO425:AW425" si="510">H425/H425</f>
        <v>1</v>
      </c>
      <c r="AP425" s="98">
        <f t="shared" si="510"/>
        <v>1</v>
      </c>
      <c r="AQ425" s="98">
        <f t="shared" si="510"/>
        <v>1</v>
      </c>
      <c r="AR425" s="98">
        <f t="shared" si="510"/>
        <v>1</v>
      </c>
      <c r="AS425" s="98">
        <f t="shared" si="510"/>
        <v>1</v>
      </c>
      <c r="AT425" s="98">
        <f t="shared" si="510"/>
        <v>1</v>
      </c>
      <c r="AU425" s="98">
        <f t="shared" si="510"/>
        <v>1</v>
      </c>
      <c r="AV425" s="98">
        <f t="shared" si="510"/>
        <v>1</v>
      </c>
      <c r="AW425" s="98">
        <f t="shared" si="510"/>
        <v>1</v>
      </c>
      <c r="AX425" s="191"/>
      <c r="AY425" s="195" t="s">
        <v>7</v>
      </c>
      <c r="AZ425" s="178">
        <f t="shared" si="474"/>
        <v>1.2E-2</v>
      </c>
      <c r="BA425" s="178">
        <f t="shared" si="475"/>
        <v>1.3999999999999999E-2</v>
      </c>
      <c r="BB425" s="178">
        <f t="shared" si="476"/>
        <v>1.2E-2</v>
      </c>
      <c r="BC425" s="178">
        <f t="shared" si="477"/>
        <v>1.2E-2</v>
      </c>
      <c r="BD425" s="178">
        <f t="shared" si="478"/>
        <v>1.3999999999999999E-2</v>
      </c>
      <c r="BE425" s="178">
        <f t="shared" si="479"/>
        <v>1.3999999999999999E-2</v>
      </c>
      <c r="BF425" s="178">
        <f t="shared" si="480"/>
        <v>1.2E-2</v>
      </c>
      <c r="BG425" s="178">
        <f t="shared" si="481"/>
        <v>1.3999999999999999E-2</v>
      </c>
      <c r="BH425" s="178">
        <f t="shared" si="482"/>
        <v>1.8000000000000002E-2</v>
      </c>
      <c r="BI425" s="191"/>
      <c r="BJ425" s="191"/>
      <c r="BK425" s="191"/>
      <c r="BL425" s="191"/>
      <c r="BM425" s="191"/>
      <c r="BN425" s="191"/>
      <c r="BO425" s="191"/>
      <c r="BP425" s="191"/>
    </row>
    <row r="426" spans="2:68" s="108" customFormat="1" x14ac:dyDescent="0.25">
      <c r="B426" s="107"/>
      <c r="E426" s="109" t="s">
        <v>46</v>
      </c>
      <c r="F426" s="110" t="s">
        <v>66</v>
      </c>
      <c r="G426" s="111" t="s">
        <v>54</v>
      </c>
      <c r="H426" s="112">
        <v>222536</v>
      </c>
      <c r="I426" s="112">
        <v>190632</v>
      </c>
      <c r="J426" s="112">
        <v>187759</v>
      </c>
      <c r="K426" s="112">
        <v>203694</v>
      </c>
      <c r="L426" s="112">
        <v>181812</v>
      </c>
      <c r="M426" s="112">
        <v>183335</v>
      </c>
      <c r="N426" s="112">
        <v>188722</v>
      </c>
      <c r="O426" s="112">
        <v>178230</v>
      </c>
      <c r="P426" s="112">
        <v>183190</v>
      </c>
      <c r="R426" s="111" t="s">
        <v>54</v>
      </c>
      <c r="S426" s="220">
        <v>2.6</v>
      </c>
      <c r="T426" s="220">
        <v>3.5</v>
      </c>
      <c r="U426" s="220">
        <v>2.7</v>
      </c>
      <c r="V426" s="220">
        <v>2.6</v>
      </c>
      <c r="W426" s="220">
        <v>3.9</v>
      </c>
      <c r="X426" s="220">
        <v>3.1</v>
      </c>
      <c r="Y426" s="220">
        <v>3.5</v>
      </c>
      <c r="Z426" s="220">
        <v>4.7</v>
      </c>
      <c r="AA426" s="220">
        <v>4.9000000000000004</v>
      </c>
      <c r="AC426" s="111" t="s">
        <v>54</v>
      </c>
      <c r="AD426" s="112">
        <f t="shared" si="486"/>
        <v>11571.871999999999</v>
      </c>
      <c r="AE426" s="112">
        <f t="shared" si="467"/>
        <v>13344.24</v>
      </c>
      <c r="AF426" s="112">
        <f t="shared" si="468"/>
        <v>10138.986000000001</v>
      </c>
      <c r="AG426" s="112">
        <f t="shared" si="469"/>
        <v>10592.088</v>
      </c>
      <c r="AH426" s="112">
        <f t="shared" si="470"/>
        <v>14181.335999999999</v>
      </c>
      <c r="AI426" s="112">
        <f t="shared" si="471"/>
        <v>11366.77</v>
      </c>
      <c r="AJ426" s="112">
        <f t="shared" si="472"/>
        <v>13210.54</v>
      </c>
      <c r="AK426" s="112">
        <f t="shared" si="483"/>
        <v>16753.62</v>
      </c>
      <c r="AL426" s="112">
        <f t="shared" si="484"/>
        <v>17952.620000000003</v>
      </c>
      <c r="AN426" s="111" t="s">
        <v>54</v>
      </c>
      <c r="AO426" s="113">
        <f t="shared" ref="AO426:AW426" si="511">H426/H425</f>
        <v>0.27610131092787293</v>
      </c>
      <c r="AP426" s="113">
        <f t="shared" si="511"/>
        <v>0.23831651271203921</v>
      </c>
      <c r="AQ426" s="113">
        <f t="shared" si="511"/>
        <v>0.23834422492015375</v>
      </c>
      <c r="AR426" s="113">
        <f t="shared" si="511"/>
        <v>0.25583077746211408</v>
      </c>
      <c r="AS426" s="113">
        <f t="shared" si="511"/>
        <v>0.22115019705152533</v>
      </c>
      <c r="AT426" s="113">
        <f t="shared" si="511"/>
        <v>0.21766540540604717</v>
      </c>
      <c r="AU426" s="113">
        <f t="shared" si="511"/>
        <v>0.2155485224597764</v>
      </c>
      <c r="AV426" s="113">
        <f t="shared" si="511"/>
        <v>0.19841870655450808</v>
      </c>
      <c r="AW426" s="113">
        <f t="shared" si="511"/>
        <v>0.20024726202669599</v>
      </c>
      <c r="AY426" s="111" t="s">
        <v>54</v>
      </c>
      <c r="AZ426" s="179">
        <f t="shared" si="474"/>
        <v>1.4357268168249393E-2</v>
      </c>
      <c r="BA426" s="179">
        <f t="shared" si="475"/>
        <v>1.6682155889842745E-2</v>
      </c>
      <c r="BB426" s="179">
        <f t="shared" si="476"/>
        <v>1.2870588145688304E-2</v>
      </c>
      <c r="BC426" s="179">
        <f t="shared" si="477"/>
        <v>1.3303200428029934E-2</v>
      </c>
      <c r="BD426" s="179">
        <f t="shared" si="478"/>
        <v>1.7249715370018976E-2</v>
      </c>
      <c r="BE426" s="179">
        <f t="shared" si="479"/>
        <v>1.3495255135174926E-2</v>
      </c>
      <c r="BF426" s="179">
        <f t="shared" si="480"/>
        <v>1.5088396572184349E-2</v>
      </c>
      <c r="BG426" s="179">
        <f t="shared" si="481"/>
        <v>1.865135841612376E-2</v>
      </c>
      <c r="BH426" s="179">
        <f t="shared" si="482"/>
        <v>1.9624231678616207E-2</v>
      </c>
    </row>
    <row r="427" spans="2:68" s="108" customFormat="1" x14ac:dyDescent="0.25">
      <c r="B427" s="107"/>
      <c r="E427" s="109" t="s">
        <v>46</v>
      </c>
      <c r="F427" s="110" t="s">
        <v>66</v>
      </c>
      <c r="G427" s="111" t="s">
        <v>55</v>
      </c>
      <c r="H427" s="70">
        <v>200852</v>
      </c>
      <c r="I427" s="70">
        <v>199436</v>
      </c>
      <c r="J427" s="70">
        <v>198242</v>
      </c>
      <c r="K427" s="70">
        <v>196833</v>
      </c>
      <c r="L427" s="70">
        <v>211432</v>
      </c>
      <c r="M427" s="112">
        <v>207850</v>
      </c>
      <c r="N427" s="112">
        <v>211305</v>
      </c>
      <c r="O427" s="112">
        <v>224493</v>
      </c>
      <c r="P427" s="112">
        <v>212885</v>
      </c>
      <c r="R427" s="111" t="s">
        <v>55</v>
      </c>
      <c r="S427" s="81">
        <v>2.6</v>
      </c>
      <c r="T427" s="81">
        <v>3.5</v>
      </c>
      <c r="U427" s="81">
        <v>3.7</v>
      </c>
      <c r="V427" s="81">
        <v>3.3</v>
      </c>
      <c r="W427" s="81">
        <v>3.2</v>
      </c>
      <c r="X427" s="81">
        <v>3.6</v>
      </c>
      <c r="Y427" s="81">
        <v>3.5</v>
      </c>
      <c r="Z427" s="81">
        <v>4</v>
      </c>
      <c r="AA427" s="81">
        <v>4.0999999999999996</v>
      </c>
      <c r="AC427" s="111" t="s">
        <v>55</v>
      </c>
      <c r="AD427" s="70">
        <f t="shared" si="486"/>
        <v>10444.304</v>
      </c>
      <c r="AE427" s="70">
        <f t="shared" si="467"/>
        <v>13960.52</v>
      </c>
      <c r="AF427" s="70">
        <f t="shared" si="468"/>
        <v>14669.908000000001</v>
      </c>
      <c r="AG427" s="70">
        <f t="shared" si="469"/>
        <v>12990.977999999997</v>
      </c>
      <c r="AH427" s="70">
        <f t="shared" si="470"/>
        <v>13531.648000000001</v>
      </c>
      <c r="AI427" s="70">
        <f t="shared" si="471"/>
        <v>14965.2</v>
      </c>
      <c r="AJ427" s="70">
        <f t="shared" si="472"/>
        <v>14791.35</v>
      </c>
      <c r="AK427" s="70">
        <f t="shared" si="483"/>
        <v>17959.439999999999</v>
      </c>
      <c r="AL427" s="70">
        <f t="shared" si="484"/>
        <v>17456.569999999996</v>
      </c>
      <c r="AN427" s="111" t="s">
        <v>55</v>
      </c>
      <c r="AO427" s="113">
        <f t="shared" ref="AO427:AW427" si="512">H427/H425</f>
        <v>0.24919788484777802</v>
      </c>
      <c r="AP427" s="113">
        <f t="shared" si="512"/>
        <v>0.24932273715450845</v>
      </c>
      <c r="AQ427" s="113">
        <f t="shared" si="512"/>
        <v>0.25165150984304946</v>
      </c>
      <c r="AR427" s="113">
        <f t="shared" si="512"/>
        <v>0.24721366078627893</v>
      </c>
      <c r="AS427" s="113">
        <f t="shared" si="512"/>
        <v>0.25717900063251109</v>
      </c>
      <c r="AT427" s="113">
        <f t="shared" si="512"/>
        <v>0.24677096306568252</v>
      </c>
      <c r="AU427" s="113">
        <f t="shared" si="512"/>
        <v>0.2413416588334325</v>
      </c>
      <c r="AV427" s="113">
        <f t="shared" si="512"/>
        <v>0.24992207086652743</v>
      </c>
      <c r="AW427" s="113">
        <f t="shared" si="512"/>
        <v>0.23270723498309501</v>
      </c>
      <c r="AY427" s="111" t="s">
        <v>55</v>
      </c>
      <c r="AZ427" s="179">
        <f t="shared" si="474"/>
        <v>1.2958290012084457E-2</v>
      </c>
      <c r="BA427" s="179">
        <f t="shared" si="475"/>
        <v>1.7452591600815592E-2</v>
      </c>
      <c r="BB427" s="179">
        <f t="shared" si="476"/>
        <v>1.862221172838566E-2</v>
      </c>
      <c r="BC427" s="179">
        <f t="shared" si="477"/>
        <v>1.631610161189441E-2</v>
      </c>
      <c r="BD427" s="179">
        <f t="shared" si="478"/>
        <v>1.645945604048071E-2</v>
      </c>
      <c r="BE427" s="179">
        <f t="shared" si="479"/>
        <v>1.776750934072914E-2</v>
      </c>
      <c r="BF427" s="179">
        <f t="shared" si="480"/>
        <v>1.6893916118340277E-2</v>
      </c>
      <c r="BG427" s="179">
        <f t="shared" si="481"/>
        <v>1.9993765669322195E-2</v>
      </c>
      <c r="BH427" s="179">
        <f t="shared" si="482"/>
        <v>1.9081993268613789E-2</v>
      </c>
    </row>
    <row r="428" spans="2:68" s="108" customFormat="1" x14ac:dyDescent="0.25">
      <c r="B428" s="107"/>
      <c r="E428" s="109" t="s">
        <v>46</v>
      </c>
      <c r="F428" s="110" t="s">
        <v>66</v>
      </c>
      <c r="G428" s="111" t="s">
        <v>130</v>
      </c>
      <c r="H428" s="70">
        <v>110878</v>
      </c>
      <c r="I428" s="70">
        <v>116479</v>
      </c>
      <c r="J428" s="70">
        <v>110143</v>
      </c>
      <c r="K428" s="70">
        <v>96564</v>
      </c>
      <c r="L428" s="70">
        <v>103383</v>
      </c>
      <c r="M428" s="70">
        <v>108658</v>
      </c>
      <c r="N428" s="70">
        <v>109988</v>
      </c>
      <c r="O428" s="112">
        <v>128953</v>
      </c>
      <c r="P428" s="112">
        <v>129801</v>
      </c>
      <c r="R428" s="111" t="s">
        <v>130</v>
      </c>
      <c r="S428" s="220">
        <v>3.9</v>
      </c>
      <c r="T428" s="220">
        <v>4.4000000000000004</v>
      </c>
      <c r="U428" s="220">
        <v>4.2</v>
      </c>
      <c r="V428" s="220">
        <v>4.2</v>
      </c>
      <c r="W428" s="220">
        <v>4.9000000000000004</v>
      </c>
      <c r="X428" s="220">
        <v>5.3</v>
      </c>
      <c r="Y428" s="220">
        <v>5.3</v>
      </c>
      <c r="Z428" s="220">
        <v>5.3</v>
      </c>
      <c r="AA428" s="220">
        <v>5.5</v>
      </c>
      <c r="AC428" s="111" t="s">
        <v>130</v>
      </c>
      <c r="AD428" s="70">
        <f t="shared" si="486"/>
        <v>8648.4840000000004</v>
      </c>
      <c r="AE428" s="70">
        <f t="shared" si="467"/>
        <v>10250.152</v>
      </c>
      <c r="AF428" s="70">
        <f t="shared" si="468"/>
        <v>9252.0120000000006</v>
      </c>
      <c r="AG428" s="70">
        <f t="shared" si="469"/>
        <v>8111.3760000000002</v>
      </c>
      <c r="AH428" s="70">
        <f t="shared" si="470"/>
        <v>10131.534</v>
      </c>
      <c r="AI428" s="70">
        <f t="shared" si="471"/>
        <v>11517.748</v>
      </c>
      <c r="AJ428" s="70">
        <f t="shared" si="472"/>
        <v>11658.728000000001</v>
      </c>
      <c r="AK428" s="70">
        <f t="shared" si="483"/>
        <v>13669.018</v>
      </c>
      <c r="AL428" s="70">
        <f t="shared" si="484"/>
        <v>14278.11</v>
      </c>
      <c r="AN428" s="111" t="s">
        <v>130</v>
      </c>
      <c r="AO428" s="113">
        <f t="shared" ref="AO428:AW428" si="513">H428/H425</f>
        <v>0.13756678089415059</v>
      </c>
      <c r="AP428" s="113">
        <f t="shared" si="513"/>
        <v>0.14561494966315003</v>
      </c>
      <c r="AQ428" s="113">
        <f t="shared" si="513"/>
        <v>0.13981725491390823</v>
      </c>
      <c r="AR428" s="113">
        <f t="shared" si="513"/>
        <v>0.12128017121197278</v>
      </c>
      <c r="AS428" s="113">
        <f t="shared" si="513"/>
        <v>0.1257517150780908</v>
      </c>
      <c r="AT428" s="113">
        <f t="shared" si="513"/>
        <v>0.12900475970551326</v>
      </c>
      <c r="AU428" s="113">
        <f t="shared" si="513"/>
        <v>0.12562261362377405</v>
      </c>
      <c r="AV428" s="113">
        <f t="shared" si="513"/>
        <v>0.14355993640982709</v>
      </c>
      <c r="AW428" s="113">
        <f t="shared" si="513"/>
        <v>0.1418870836744755</v>
      </c>
      <c r="AY428" s="111" t="s">
        <v>130</v>
      </c>
      <c r="AZ428" s="179">
        <f t="shared" si="474"/>
        <v>1.0730208909743745E-2</v>
      </c>
      <c r="BA428" s="179">
        <f t="shared" si="475"/>
        <v>1.2814115570357203E-2</v>
      </c>
      <c r="BB428" s="179">
        <f t="shared" si="476"/>
        <v>1.1744649412768291E-2</v>
      </c>
      <c r="BC428" s="179">
        <f t="shared" si="477"/>
        <v>1.0187534381805714E-2</v>
      </c>
      <c r="BD428" s="179">
        <f t="shared" si="478"/>
        <v>1.2323668077652899E-2</v>
      </c>
      <c r="BE428" s="179">
        <f t="shared" si="479"/>
        <v>1.3674504528784404E-2</v>
      </c>
      <c r="BF428" s="179">
        <f t="shared" si="480"/>
        <v>1.3315997044120049E-2</v>
      </c>
      <c r="BG428" s="179">
        <f t="shared" si="481"/>
        <v>1.5217353259441671E-2</v>
      </c>
      <c r="BH428" s="179">
        <f t="shared" si="482"/>
        <v>1.5607579204192305E-2</v>
      </c>
    </row>
    <row r="429" spans="2:68" s="108" customFormat="1" x14ac:dyDescent="0.25">
      <c r="B429" s="107"/>
      <c r="E429" s="109" t="s">
        <v>46</v>
      </c>
      <c r="F429" s="110" t="s">
        <v>66</v>
      </c>
      <c r="G429" s="111" t="s">
        <v>131</v>
      </c>
      <c r="H429" s="112">
        <v>269952</v>
      </c>
      <c r="I429" s="112">
        <v>288807</v>
      </c>
      <c r="J429" s="112">
        <v>287337</v>
      </c>
      <c r="K429" s="112">
        <v>296316</v>
      </c>
      <c r="L429" s="112">
        <v>322603</v>
      </c>
      <c r="M429" s="112">
        <v>338683</v>
      </c>
      <c r="N429" s="112">
        <v>362619</v>
      </c>
      <c r="O429" s="112">
        <v>366576</v>
      </c>
      <c r="P429" s="112">
        <v>388944</v>
      </c>
      <c r="R429" s="111" t="s">
        <v>131</v>
      </c>
      <c r="S429" s="220">
        <v>2.2000000000000002</v>
      </c>
      <c r="T429" s="220">
        <v>2.4</v>
      </c>
      <c r="U429" s="220">
        <v>2.2999999999999998</v>
      </c>
      <c r="V429" s="220">
        <v>2.2999999999999998</v>
      </c>
      <c r="W429" s="220">
        <v>2.4</v>
      </c>
      <c r="X429" s="220">
        <v>2.2000000000000002</v>
      </c>
      <c r="Y429" s="220">
        <v>2.4</v>
      </c>
      <c r="Z429" s="220">
        <v>3</v>
      </c>
      <c r="AA429" s="220">
        <v>2.5</v>
      </c>
      <c r="AC429" s="111" t="s">
        <v>131</v>
      </c>
      <c r="AD429" s="112">
        <f t="shared" si="486"/>
        <v>11877.888000000001</v>
      </c>
      <c r="AE429" s="112">
        <f t="shared" si="467"/>
        <v>13862.735999999999</v>
      </c>
      <c r="AF429" s="112">
        <f t="shared" si="468"/>
        <v>13217.502</v>
      </c>
      <c r="AG429" s="112">
        <f t="shared" si="469"/>
        <v>13630.535999999998</v>
      </c>
      <c r="AH429" s="112">
        <f t="shared" si="470"/>
        <v>15484.944</v>
      </c>
      <c r="AI429" s="112">
        <f t="shared" si="471"/>
        <v>14902.052000000001</v>
      </c>
      <c r="AJ429" s="112">
        <f t="shared" si="472"/>
        <v>17405.712</v>
      </c>
      <c r="AK429" s="112">
        <f t="shared" si="483"/>
        <v>21994.560000000001</v>
      </c>
      <c r="AL429" s="112">
        <f t="shared" si="484"/>
        <v>19447.2</v>
      </c>
      <c r="AN429" s="111" t="s">
        <v>131</v>
      </c>
      <c r="AO429" s="113">
        <f t="shared" ref="AO429:AW429" si="514">H429/H425</f>
        <v>0.33493053298163511</v>
      </c>
      <c r="AP429" s="113">
        <f t="shared" si="514"/>
        <v>0.36104891669198197</v>
      </c>
      <c r="AQ429" s="113">
        <f t="shared" si="514"/>
        <v>0.36475010282267278</v>
      </c>
      <c r="AR429" s="113">
        <f t="shared" si="514"/>
        <v>0.37215996865132894</v>
      </c>
      <c r="AS429" s="113">
        <f t="shared" si="514"/>
        <v>0.39240378533547415</v>
      </c>
      <c r="AT429" s="113">
        <f t="shared" si="514"/>
        <v>0.40210310360343782</v>
      </c>
      <c r="AU429" s="113">
        <f t="shared" si="514"/>
        <v>0.41416469550895846</v>
      </c>
      <c r="AV429" s="113">
        <f t="shared" si="514"/>
        <v>0.40809928616913738</v>
      </c>
      <c r="AW429" s="113">
        <f t="shared" si="514"/>
        <v>0.42515951242814154</v>
      </c>
      <c r="AY429" s="111" t="s">
        <v>131</v>
      </c>
      <c r="AZ429" s="179">
        <f t="shared" si="474"/>
        <v>1.4736943451191946E-2</v>
      </c>
      <c r="BA429" s="179">
        <f t="shared" si="475"/>
        <v>1.7330348001215135E-2</v>
      </c>
      <c r="BB429" s="179">
        <f t="shared" si="476"/>
        <v>1.6778504729842946E-2</v>
      </c>
      <c r="BC429" s="179">
        <f t="shared" si="477"/>
        <v>1.711935855796113E-2</v>
      </c>
      <c r="BD429" s="179">
        <f t="shared" si="478"/>
        <v>1.8835381696102757E-2</v>
      </c>
      <c r="BE429" s="179">
        <f t="shared" si="479"/>
        <v>1.7692536558551266E-2</v>
      </c>
      <c r="BF429" s="179">
        <f t="shared" si="480"/>
        <v>1.9879905384430005E-2</v>
      </c>
      <c r="BG429" s="179">
        <f t="shared" si="481"/>
        <v>2.4485957170148245E-2</v>
      </c>
      <c r="BH429" s="179">
        <f t="shared" si="482"/>
        <v>2.1257975621407077E-2</v>
      </c>
    </row>
    <row r="430" spans="2:68" s="87" customFormat="1" x14ac:dyDescent="0.25">
      <c r="B430" s="84"/>
      <c r="C430" s="85"/>
      <c r="D430" s="85"/>
      <c r="E430" s="109" t="s">
        <v>4</v>
      </c>
      <c r="F430" s="110" t="s">
        <v>66</v>
      </c>
      <c r="G430" s="195" t="s">
        <v>7</v>
      </c>
      <c r="H430" s="69">
        <v>398404</v>
      </c>
      <c r="I430" s="69">
        <v>394991</v>
      </c>
      <c r="J430" s="69">
        <v>389196</v>
      </c>
      <c r="K430" s="69">
        <v>393758</v>
      </c>
      <c r="L430" s="69">
        <v>406840</v>
      </c>
      <c r="M430" s="69">
        <v>418513</v>
      </c>
      <c r="N430" s="69">
        <v>438936</v>
      </c>
      <c r="O430" s="69">
        <v>453841</v>
      </c>
      <c r="P430" s="69">
        <v>461792</v>
      </c>
      <c r="R430" s="195" t="s">
        <v>7</v>
      </c>
      <c r="S430" s="226">
        <v>1.6</v>
      </c>
      <c r="T430" s="226">
        <v>0.8</v>
      </c>
      <c r="U430" s="226">
        <v>0.8</v>
      </c>
      <c r="V430" s="226">
        <v>0.7</v>
      </c>
      <c r="W430" s="226">
        <v>0.9</v>
      </c>
      <c r="X430" s="226">
        <v>0.9</v>
      </c>
      <c r="Y430" s="226">
        <v>0.9</v>
      </c>
      <c r="Z430" s="226">
        <v>1</v>
      </c>
      <c r="AA430" s="226">
        <v>1</v>
      </c>
      <c r="AC430" s="195" t="s">
        <v>7</v>
      </c>
      <c r="AD430" s="69">
        <f t="shared" si="486"/>
        <v>12748.928</v>
      </c>
      <c r="AE430" s="69">
        <f t="shared" si="467"/>
        <v>6319.8560000000007</v>
      </c>
      <c r="AF430" s="69">
        <f t="shared" si="468"/>
        <v>6227.1359999999995</v>
      </c>
      <c r="AG430" s="69">
        <f t="shared" si="469"/>
        <v>5512.6119999999992</v>
      </c>
      <c r="AH430" s="69">
        <f t="shared" si="470"/>
        <v>7323.12</v>
      </c>
      <c r="AI430" s="69">
        <f t="shared" si="471"/>
        <v>7533.2340000000004</v>
      </c>
      <c r="AJ430" s="69">
        <f t="shared" si="472"/>
        <v>7900.8480000000009</v>
      </c>
      <c r="AK430" s="69">
        <f t="shared" si="483"/>
        <v>9076.82</v>
      </c>
      <c r="AL430" s="69">
        <f t="shared" si="484"/>
        <v>9235.84</v>
      </c>
      <c r="AN430" s="195" t="s">
        <v>7</v>
      </c>
      <c r="AO430" s="98">
        <f t="shared" ref="AO430:AW430" si="515">H430/H430</f>
        <v>1</v>
      </c>
      <c r="AP430" s="98">
        <f t="shared" si="515"/>
        <v>1</v>
      </c>
      <c r="AQ430" s="98">
        <f t="shared" si="515"/>
        <v>1</v>
      </c>
      <c r="AR430" s="98">
        <f t="shared" si="515"/>
        <v>1</v>
      </c>
      <c r="AS430" s="98">
        <f t="shared" si="515"/>
        <v>1</v>
      </c>
      <c r="AT430" s="98">
        <f t="shared" si="515"/>
        <v>1</v>
      </c>
      <c r="AU430" s="98">
        <f t="shared" si="515"/>
        <v>1</v>
      </c>
      <c r="AV430" s="98">
        <f t="shared" si="515"/>
        <v>1</v>
      </c>
      <c r="AW430" s="98">
        <f t="shared" si="515"/>
        <v>1</v>
      </c>
      <c r="AX430" s="191"/>
      <c r="AY430" s="195" t="s">
        <v>7</v>
      </c>
      <c r="AZ430" s="178">
        <f t="shared" si="474"/>
        <v>3.2000000000000001E-2</v>
      </c>
      <c r="BA430" s="178">
        <f t="shared" si="475"/>
        <v>1.6E-2</v>
      </c>
      <c r="BB430" s="178">
        <f t="shared" si="476"/>
        <v>1.6E-2</v>
      </c>
      <c r="BC430" s="178">
        <f t="shared" si="477"/>
        <v>1.3999999999999999E-2</v>
      </c>
      <c r="BD430" s="178">
        <f t="shared" si="478"/>
        <v>1.8000000000000002E-2</v>
      </c>
      <c r="BE430" s="178">
        <f t="shared" si="479"/>
        <v>1.8000000000000002E-2</v>
      </c>
      <c r="BF430" s="178">
        <f t="shared" si="480"/>
        <v>1.8000000000000002E-2</v>
      </c>
      <c r="BG430" s="178">
        <f t="shared" si="481"/>
        <v>0.02</v>
      </c>
      <c r="BH430" s="178">
        <f t="shared" si="482"/>
        <v>0.02</v>
      </c>
      <c r="BI430" s="191"/>
      <c r="BJ430" s="191"/>
      <c r="BK430" s="191"/>
      <c r="BL430" s="191"/>
      <c r="BM430" s="191"/>
      <c r="BN430" s="191"/>
      <c r="BO430" s="191"/>
      <c r="BP430" s="191"/>
    </row>
    <row r="431" spans="2:68" s="108" customFormat="1" x14ac:dyDescent="0.25">
      <c r="B431" s="107"/>
      <c r="E431" s="109" t="s">
        <v>4</v>
      </c>
      <c r="F431" s="110" t="s">
        <v>66</v>
      </c>
      <c r="G431" s="111" t="s">
        <v>54</v>
      </c>
      <c r="H431" s="112">
        <v>111304</v>
      </c>
      <c r="I431" s="112">
        <v>97738</v>
      </c>
      <c r="J431" s="112">
        <v>96779</v>
      </c>
      <c r="K431" s="112">
        <v>108902</v>
      </c>
      <c r="L431" s="112">
        <v>97946</v>
      </c>
      <c r="M431" s="112">
        <v>91491</v>
      </c>
      <c r="N431" s="112">
        <v>100074</v>
      </c>
      <c r="O431" s="112">
        <v>102302</v>
      </c>
      <c r="P431" s="112">
        <v>102311</v>
      </c>
      <c r="R431" s="111" t="s">
        <v>54</v>
      </c>
      <c r="S431" s="220">
        <v>3.9</v>
      </c>
      <c r="T431" s="220">
        <v>4.4000000000000004</v>
      </c>
      <c r="U431" s="220">
        <v>4.2</v>
      </c>
      <c r="V431" s="220">
        <v>3.9</v>
      </c>
      <c r="W431" s="220">
        <v>4.9000000000000004</v>
      </c>
      <c r="X431" s="220">
        <v>5.3</v>
      </c>
      <c r="Y431" s="220">
        <v>4.0999999999999996</v>
      </c>
      <c r="Z431" s="220">
        <v>6</v>
      </c>
      <c r="AA431" s="220">
        <v>6.2</v>
      </c>
      <c r="AC431" s="111" t="s">
        <v>54</v>
      </c>
      <c r="AD431" s="112">
        <f t="shared" si="486"/>
        <v>8681.7119999999995</v>
      </c>
      <c r="AE431" s="112">
        <f t="shared" si="467"/>
        <v>8600.9439999999995</v>
      </c>
      <c r="AF431" s="112">
        <f t="shared" si="468"/>
        <v>8129.4359999999997</v>
      </c>
      <c r="AG431" s="112">
        <f t="shared" si="469"/>
        <v>8494.3559999999998</v>
      </c>
      <c r="AH431" s="112">
        <f t="shared" si="470"/>
        <v>9598.7080000000005</v>
      </c>
      <c r="AI431" s="112">
        <f t="shared" si="471"/>
        <v>9698.0460000000003</v>
      </c>
      <c r="AJ431" s="112">
        <f t="shared" si="472"/>
        <v>8206.0679999999993</v>
      </c>
      <c r="AK431" s="112">
        <f t="shared" si="483"/>
        <v>12276.24</v>
      </c>
      <c r="AL431" s="112">
        <f t="shared" si="484"/>
        <v>12686.564000000002</v>
      </c>
      <c r="AN431" s="111" t="s">
        <v>54</v>
      </c>
      <c r="AO431" s="113">
        <f t="shared" ref="AO431:AW431" si="516">H431/H430</f>
        <v>0.27937470507324225</v>
      </c>
      <c r="AP431" s="113">
        <f t="shared" si="516"/>
        <v>0.24744361263927533</v>
      </c>
      <c r="AQ431" s="113">
        <f t="shared" si="516"/>
        <v>0.24866391227042417</v>
      </c>
      <c r="AR431" s="113">
        <f t="shared" si="516"/>
        <v>0.27657088871845142</v>
      </c>
      <c r="AS431" s="113">
        <f t="shared" si="516"/>
        <v>0.24074820568282371</v>
      </c>
      <c r="AT431" s="113">
        <f t="shared" si="516"/>
        <v>0.21860969671193009</v>
      </c>
      <c r="AU431" s="113">
        <f t="shared" si="516"/>
        <v>0.22799223577013505</v>
      </c>
      <c r="AV431" s="113">
        <f t="shared" si="516"/>
        <v>0.22541374622389779</v>
      </c>
      <c r="AW431" s="113">
        <f t="shared" si="516"/>
        <v>0.22155212736470098</v>
      </c>
      <c r="AY431" s="111" t="s">
        <v>54</v>
      </c>
      <c r="AZ431" s="179">
        <f t="shared" si="474"/>
        <v>2.1791226995712894E-2</v>
      </c>
      <c r="BA431" s="179">
        <f t="shared" si="475"/>
        <v>2.1775037912256229E-2</v>
      </c>
      <c r="BB431" s="179">
        <f t="shared" si="476"/>
        <v>2.0887768630715633E-2</v>
      </c>
      <c r="BC431" s="179">
        <f t="shared" si="477"/>
        <v>2.157252932003921E-2</v>
      </c>
      <c r="BD431" s="179">
        <f t="shared" si="478"/>
        <v>2.3593324156916725E-2</v>
      </c>
      <c r="BE431" s="179">
        <f t="shared" si="479"/>
        <v>2.3172627851464588E-2</v>
      </c>
      <c r="BF431" s="179">
        <f t="shared" si="480"/>
        <v>1.8695363333151072E-2</v>
      </c>
      <c r="BG431" s="179">
        <f t="shared" si="481"/>
        <v>2.7049649546867737E-2</v>
      </c>
      <c r="BH431" s="179">
        <f t="shared" si="482"/>
        <v>2.7472463793222924E-2</v>
      </c>
    </row>
    <row r="432" spans="2:68" s="108" customFormat="1" x14ac:dyDescent="0.25">
      <c r="B432" s="107"/>
      <c r="E432" s="109" t="s">
        <v>4</v>
      </c>
      <c r="F432" s="110" t="s">
        <v>66</v>
      </c>
      <c r="G432" s="111" t="s">
        <v>55</v>
      </c>
      <c r="H432" s="70">
        <v>108448</v>
      </c>
      <c r="I432" s="70">
        <v>110454</v>
      </c>
      <c r="J432" s="70">
        <v>111719</v>
      </c>
      <c r="K432" s="70">
        <v>107967</v>
      </c>
      <c r="L432" s="70">
        <v>116701</v>
      </c>
      <c r="M432" s="112">
        <v>109356</v>
      </c>
      <c r="N432" s="112">
        <v>125206</v>
      </c>
      <c r="O432" s="112">
        <v>118615</v>
      </c>
      <c r="P432" s="112">
        <v>117890</v>
      </c>
      <c r="R432" s="111" t="s">
        <v>55</v>
      </c>
      <c r="S432" s="81">
        <v>3.9</v>
      </c>
      <c r="T432" s="81">
        <v>4.4000000000000004</v>
      </c>
      <c r="U432" s="81">
        <v>4.2</v>
      </c>
      <c r="V432" s="81">
        <v>4.0999999999999996</v>
      </c>
      <c r="W432" s="81">
        <v>4.9000000000000004</v>
      </c>
      <c r="X432" s="81">
        <v>5.3</v>
      </c>
      <c r="Y432" s="81">
        <v>4.8</v>
      </c>
      <c r="Z432" s="81">
        <v>6</v>
      </c>
      <c r="AA432" s="81">
        <v>6.2</v>
      </c>
      <c r="AC432" s="111" t="s">
        <v>55</v>
      </c>
      <c r="AD432" s="70">
        <f t="shared" si="486"/>
        <v>8458.9439999999995</v>
      </c>
      <c r="AE432" s="70">
        <f t="shared" si="467"/>
        <v>9719.9520000000011</v>
      </c>
      <c r="AF432" s="70">
        <f t="shared" si="468"/>
        <v>9384.3960000000006</v>
      </c>
      <c r="AG432" s="70">
        <f t="shared" si="469"/>
        <v>8853.2939999999999</v>
      </c>
      <c r="AH432" s="70">
        <f t="shared" si="470"/>
        <v>11436.698</v>
      </c>
      <c r="AI432" s="70">
        <f t="shared" si="471"/>
        <v>11591.735999999999</v>
      </c>
      <c r="AJ432" s="70">
        <f t="shared" si="472"/>
        <v>12019.775999999998</v>
      </c>
      <c r="AK432" s="70">
        <f t="shared" si="483"/>
        <v>14233.8</v>
      </c>
      <c r="AL432" s="70">
        <f t="shared" si="484"/>
        <v>14618.36</v>
      </c>
      <c r="AN432" s="111" t="s">
        <v>55</v>
      </c>
      <c r="AO432" s="113">
        <f t="shared" ref="AO432:AW432" si="517">H432/H430</f>
        <v>0.27220610234837</v>
      </c>
      <c r="AP432" s="113">
        <f t="shared" si="517"/>
        <v>0.27963675121711634</v>
      </c>
      <c r="AQ432" s="113">
        <f t="shared" si="517"/>
        <v>0.2870507405009301</v>
      </c>
      <c r="AR432" s="113">
        <f t="shared" si="517"/>
        <v>0.27419633378877384</v>
      </c>
      <c r="AS432" s="113">
        <f t="shared" si="517"/>
        <v>0.2868474093009537</v>
      </c>
      <c r="AT432" s="113">
        <f t="shared" si="517"/>
        <v>0.26129654275972314</v>
      </c>
      <c r="AU432" s="113">
        <f t="shared" si="517"/>
        <v>0.28524887455118741</v>
      </c>
      <c r="AV432" s="113">
        <f t="shared" si="517"/>
        <v>0.26135805271009011</v>
      </c>
      <c r="AW432" s="113">
        <f t="shared" si="517"/>
        <v>0.25528809507310651</v>
      </c>
      <c r="AY432" s="111" t="s">
        <v>55</v>
      </c>
      <c r="AZ432" s="179">
        <f t="shared" si="474"/>
        <v>2.1232075983172859E-2</v>
      </c>
      <c r="BA432" s="179">
        <f t="shared" si="475"/>
        <v>2.4608034107106241E-2</v>
      </c>
      <c r="BB432" s="179">
        <f t="shared" si="476"/>
        <v>2.4112262202078131E-2</v>
      </c>
      <c r="BC432" s="179">
        <f t="shared" si="477"/>
        <v>2.2484099370679453E-2</v>
      </c>
      <c r="BD432" s="179">
        <f t="shared" si="478"/>
        <v>2.8111046111493464E-2</v>
      </c>
      <c r="BE432" s="179">
        <f t="shared" si="479"/>
        <v>2.7697433532530652E-2</v>
      </c>
      <c r="BF432" s="179">
        <f t="shared" si="480"/>
        <v>2.7383891956913993E-2</v>
      </c>
      <c r="BG432" s="179">
        <f t="shared" si="481"/>
        <v>3.1362966325210816E-2</v>
      </c>
      <c r="BH432" s="179">
        <f t="shared" si="482"/>
        <v>3.1655723789065206E-2</v>
      </c>
    </row>
    <row r="433" spans="2:68" s="108" customFormat="1" x14ac:dyDescent="0.25">
      <c r="B433" s="107"/>
      <c r="E433" s="109" t="s">
        <v>4</v>
      </c>
      <c r="F433" s="110" t="s">
        <v>66</v>
      </c>
      <c r="G433" s="111" t="s">
        <v>130</v>
      </c>
      <c r="H433" s="70">
        <v>58761</v>
      </c>
      <c r="I433" s="70">
        <v>60248</v>
      </c>
      <c r="J433" s="70">
        <v>56652</v>
      </c>
      <c r="K433" s="70">
        <v>48880</v>
      </c>
      <c r="L433" s="70">
        <v>53968</v>
      </c>
      <c r="M433" s="70">
        <v>56091</v>
      </c>
      <c r="N433" s="70">
        <v>60855</v>
      </c>
      <c r="O433" s="112">
        <v>71748</v>
      </c>
      <c r="P433" s="112">
        <v>73194</v>
      </c>
      <c r="R433" s="111" t="s">
        <v>130</v>
      </c>
      <c r="S433" s="220">
        <v>5.5</v>
      </c>
      <c r="T433" s="220">
        <v>5.8</v>
      </c>
      <c r="U433" s="220">
        <v>6.1</v>
      </c>
      <c r="V433" s="220">
        <v>6.3</v>
      </c>
      <c r="W433" s="220">
        <v>7.1</v>
      </c>
      <c r="X433" s="220">
        <v>7.8</v>
      </c>
      <c r="Y433" s="220">
        <v>7.1</v>
      </c>
      <c r="Z433" s="220">
        <v>7.3</v>
      </c>
      <c r="AA433" s="220">
        <v>7.6</v>
      </c>
      <c r="AC433" s="111" t="s">
        <v>130</v>
      </c>
      <c r="AD433" s="70">
        <f t="shared" si="486"/>
        <v>6463.71</v>
      </c>
      <c r="AE433" s="70">
        <f t="shared" si="467"/>
        <v>6988.7679999999991</v>
      </c>
      <c r="AF433" s="70">
        <f t="shared" si="468"/>
        <v>6911.543999999999</v>
      </c>
      <c r="AG433" s="70">
        <f t="shared" si="469"/>
        <v>6158.88</v>
      </c>
      <c r="AH433" s="70">
        <f t="shared" si="470"/>
        <v>7663.4560000000001</v>
      </c>
      <c r="AI433" s="70">
        <f t="shared" si="471"/>
        <v>8750.1959999999999</v>
      </c>
      <c r="AJ433" s="70">
        <f t="shared" si="472"/>
        <v>8641.41</v>
      </c>
      <c r="AK433" s="70">
        <f t="shared" si="483"/>
        <v>10475.207999999999</v>
      </c>
      <c r="AL433" s="70">
        <f t="shared" si="484"/>
        <v>11125.488000000001</v>
      </c>
      <c r="AN433" s="111" t="s">
        <v>130</v>
      </c>
      <c r="AO433" s="113">
        <f t="shared" ref="AO433:AW433" si="518">H433/H430</f>
        <v>0.14749098904629471</v>
      </c>
      <c r="AP433" s="113">
        <f t="shared" si="518"/>
        <v>0.1525300576468831</v>
      </c>
      <c r="AQ433" s="113">
        <f t="shared" si="518"/>
        <v>0.14556161933832826</v>
      </c>
      <c r="AR433" s="113">
        <f t="shared" si="518"/>
        <v>0.12413716038785244</v>
      </c>
      <c r="AS433" s="113">
        <f t="shared" si="518"/>
        <v>0.13265165667092715</v>
      </c>
      <c r="AT433" s="113">
        <f t="shared" si="518"/>
        <v>0.13402451058867945</v>
      </c>
      <c r="AU433" s="113">
        <f t="shared" si="518"/>
        <v>0.13864207993876101</v>
      </c>
      <c r="AV433" s="113">
        <f t="shared" si="518"/>
        <v>0.15809060882555784</v>
      </c>
      <c r="AW433" s="113">
        <f t="shared" si="518"/>
        <v>0.15849993070473287</v>
      </c>
      <c r="AY433" s="111" t="s">
        <v>130</v>
      </c>
      <c r="AZ433" s="179">
        <f t="shared" si="474"/>
        <v>1.6224008795092417E-2</v>
      </c>
      <c r="BA433" s="179">
        <f t="shared" si="475"/>
        <v>1.7693486687038441E-2</v>
      </c>
      <c r="BB433" s="179">
        <f t="shared" si="476"/>
        <v>1.7758517559276047E-2</v>
      </c>
      <c r="BC433" s="179">
        <f t="shared" si="477"/>
        <v>1.5641282208869407E-2</v>
      </c>
      <c r="BD433" s="179">
        <f t="shared" si="478"/>
        <v>1.8836535247271656E-2</v>
      </c>
      <c r="BE433" s="179">
        <f t="shared" si="479"/>
        <v>2.0907823651833995E-2</v>
      </c>
      <c r="BF433" s="179">
        <f t="shared" si="480"/>
        <v>1.9687175351304063E-2</v>
      </c>
      <c r="BG433" s="179">
        <f t="shared" si="481"/>
        <v>2.3081228888531445E-2</v>
      </c>
      <c r="BH433" s="179">
        <f t="shared" si="482"/>
        <v>2.4091989467119393E-2</v>
      </c>
    </row>
    <row r="434" spans="2:68" s="108" customFormat="1" x14ac:dyDescent="0.25">
      <c r="B434" s="107"/>
      <c r="E434" s="109" t="s">
        <v>4</v>
      </c>
      <c r="F434" s="110" t="s">
        <v>66</v>
      </c>
      <c r="G434" s="111" t="s">
        <v>131</v>
      </c>
      <c r="H434" s="112">
        <v>118408</v>
      </c>
      <c r="I434" s="112">
        <v>124477</v>
      </c>
      <c r="J434" s="112">
        <v>121464</v>
      </c>
      <c r="K434" s="112">
        <v>126243</v>
      </c>
      <c r="L434" s="112">
        <v>136782</v>
      </c>
      <c r="M434" s="112">
        <v>159160</v>
      </c>
      <c r="N434" s="112">
        <v>151189</v>
      </c>
      <c r="O434" s="112">
        <v>161176</v>
      </c>
      <c r="P434" s="112">
        <v>168397</v>
      </c>
      <c r="R434" s="111" t="s">
        <v>131</v>
      </c>
      <c r="S434" s="220">
        <v>3.9</v>
      </c>
      <c r="T434" s="220">
        <v>4.4000000000000004</v>
      </c>
      <c r="U434" s="220">
        <v>3.2</v>
      </c>
      <c r="V434" s="220">
        <v>3.3</v>
      </c>
      <c r="W434" s="220">
        <v>3.5</v>
      </c>
      <c r="X434" s="220">
        <v>3</v>
      </c>
      <c r="Y434" s="220">
        <v>3.3</v>
      </c>
      <c r="Z434" s="220">
        <v>4.7</v>
      </c>
      <c r="AA434" s="220">
        <v>4.9000000000000004</v>
      </c>
      <c r="AC434" s="111" t="s">
        <v>131</v>
      </c>
      <c r="AD434" s="112">
        <f t="shared" si="486"/>
        <v>9235.8240000000005</v>
      </c>
      <c r="AE434" s="112">
        <f t="shared" si="467"/>
        <v>10953.976000000001</v>
      </c>
      <c r="AF434" s="112">
        <f t="shared" si="468"/>
        <v>7773.6960000000008</v>
      </c>
      <c r="AG434" s="112">
        <f t="shared" si="469"/>
        <v>8332.0379999999986</v>
      </c>
      <c r="AH434" s="112">
        <f t="shared" si="470"/>
        <v>9574.74</v>
      </c>
      <c r="AI434" s="112">
        <f t="shared" si="471"/>
        <v>9549.6</v>
      </c>
      <c r="AJ434" s="112">
        <f t="shared" si="472"/>
        <v>9978.4739999999983</v>
      </c>
      <c r="AK434" s="112">
        <f t="shared" si="483"/>
        <v>15150.544000000002</v>
      </c>
      <c r="AL434" s="112">
        <f t="shared" si="484"/>
        <v>16502.906000000003</v>
      </c>
      <c r="AN434" s="111" t="s">
        <v>131</v>
      </c>
      <c r="AO434" s="113">
        <f t="shared" ref="AO434:AW434" si="519">H434/H430</f>
        <v>0.29720585134687405</v>
      </c>
      <c r="AP434" s="113">
        <f t="shared" si="519"/>
        <v>0.31513882594793297</v>
      </c>
      <c r="AQ434" s="113">
        <f t="shared" si="519"/>
        <v>0.31208953843307741</v>
      </c>
      <c r="AR434" s="113">
        <f t="shared" si="519"/>
        <v>0.32061062886341357</v>
      </c>
      <c r="AS434" s="113">
        <f t="shared" si="519"/>
        <v>0.33620587946121328</v>
      </c>
      <c r="AT434" s="113">
        <f t="shared" si="519"/>
        <v>0.38029881986939473</v>
      </c>
      <c r="AU434" s="113">
        <f t="shared" si="519"/>
        <v>0.34444429256201359</v>
      </c>
      <c r="AV434" s="113">
        <f t="shared" si="519"/>
        <v>0.35513759224045427</v>
      </c>
      <c r="AW434" s="113">
        <f t="shared" si="519"/>
        <v>0.36465984685745961</v>
      </c>
      <c r="AY434" s="111" t="s">
        <v>131</v>
      </c>
      <c r="AZ434" s="179">
        <f t="shared" si="474"/>
        <v>2.3182056405056176E-2</v>
      </c>
      <c r="BA434" s="179">
        <f t="shared" si="475"/>
        <v>2.7732216683418104E-2</v>
      </c>
      <c r="BB434" s="179">
        <f t="shared" si="476"/>
        <v>1.9973730459716954E-2</v>
      </c>
      <c r="BC434" s="179">
        <f t="shared" si="477"/>
        <v>2.1160301504985296E-2</v>
      </c>
      <c r="BD434" s="179">
        <f t="shared" si="478"/>
        <v>2.3534411562284929E-2</v>
      </c>
      <c r="BE434" s="179">
        <f t="shared" si="479"/>
        <v>2.2817929192163681E-2</v>
      </c>
      <c r="BF434" s="179">
        <f t="shared" si="480"/>
        <v>2.2733323309092897E-2</v>
      </c>
      <c r="BG434" s="179">
        <f t="shared" si="481"/>
        <v>3.3382933670602702E-2</v>
      </c>
      <c r="BH434" s="179">
        <f t="shared" si="482"/>
        <v>3.5736664992031042E-2</v>
      </c>
    </row>
    <row r="435" spans="2:68" s="87" customFormat="1" x14ac:dyDescent="0.25">
      <c r="B435" s="84"/>
      <c r="C435" s="85"/>
      <c r="D435" s="85"/>
      <c r="E435" s="109" t="s">
        <v>5</v>
      </c>
      <c r="F435" s="110" t="s">
        <v>66</v>
      </c>
      <c r="G435" s="195" t="s">
        <v>7</v>
      </c>
      <c r="H435" s="69">
        <v>407590</v>
      </c>
      <c r="I435" s="69">
        <v>404920</v>
      </c>
      <c r="J435" s="69">
        <v>398568</v>
      </c>
      <c r="K435" s="69">
        <v>402448</v>
      </c>
      <c r="L435" s="69">
        <v>415280</v>
      </c>
      <c r="M435" s="69">
        <v>423766</v>
      </c>
      <c r="N435" s="69">
        <v>436607</v>
      </c>
      <c r="O435" s="69">
        <v>444411</v>
      </c>
      <c r="P435" s="69">
        <v>453027</v>
      </c>
      <c r="R435" s="195" t="s">
        <v>7</v>
      </c>
      <c r="S435" s="226">
        <v>1.5</v>
      </c>
      <c r="T435" s="226">
        <v>0.8</v>
      </c>
      <c r="U435" s="226">
        <v>0.8</v>
      </c>
      <c r="V435" s="226">
        <v>0.7</v>
      </c>
      <c r="W435" s="226">
        <v>0.9</v>
      </c>
      <c r="X435" s="226">
        <v>0.9</v>
      </c>
      <c r="Y435" s="226">
        <v>0.9</v>
      </c>
      <c r="Z435" s="226">
        <v>1</v>
      </c>
      <c r="AA435" s="226">
        <v>1</v>
      </c>
      <c r="AC435" s="195" t="s">
        <v>7</v>
      </c>
      <c r="AD435" s="69">
        <f t="shared" si="486"/>
        <v>12227.7</v>
      </c>
      <c r="AE435" s="69">
        <f t="shared" si="467"/>
        <v>6478.72</v>
      </c>
      <c r="AF435" s="69">
        <f t="shared" si="468"/>
        <v>6377.0880000000006</v>
      </c>
      <c r="AG435" s="69">
        <f t="shared" si="469"/>
        <v>5634.2719999999999</v>
      </c>
      <c r="AH435" s="69">
        <f t="shared" si="470"/>
        <v>7475.04</v>
      </c>
      <c r="AI435" s="69">
        <f t="shared" si="471"/>
        <v>7627.7880000000005</v>
      </c>
      <c r="AJ435" s="69">
        <f t="shared" si="472"/>
        <v>7858.9259999999995</v>
      </c>
      <c r="AK435" s="69">
        <f t="shared" si="483"/>
        <v>8888.2199999999993</v>
      </c>
      <c r="AL435" s="69">
        <f t="shared" si="484"/>
        <v>9060.5400000000009</v>
      </c>
      <c r="AN435" s="195" t="s">
        <v>7</v>
      </c>
      <c r="AO435" s="98">
        <f t="shared" ref="AO435:AW435" si="520">H435/H435</f>
        <v>1</v>
      </c>
      <c r="AP435" s="98">
        <f t="shared" si="520"/>
        <v>1</v>
      </c>
      <c r="AQ435" s="98">
        <f t="shared" si="520"/>
        <v>1</v>
      </c>
      <c r="AR435" s="98">
        <f t="shared" si="520"/>
        <v>1</v>
      </c>
      <c r="AS435" s="98">
        <f t="shared" si="520"/>
        <v>1</v>
      </c>
      <c r="AT435" s="98">
        <f t="shared" si="520"/>
        <v>1</v>
      </c>
      <c r="AU435" s="98">
        <f t="shared" si="520"/>
        <v>1</v>
      </c>
      <c r="AV435" s="98">
        <f t="shared" si="520"/>
        <v>1</v>
      </c>
      <c r="AW435" s="98">
        <f t="shared" si="520"/>
        <v>1</v>
      </c>
      <c r="AX435" s="191"/>
      <c r="AY435" s="195" t="s">
        <v>7</v>
      </c>
      <c r="AZ435" s="178">
        <f t="shared" si="474"/>
        <v>0.03</v>
      </c>
      <c r="BA435" s="178">
        <f t="shared" si="475"/>
        <v>1.6E-2</v>
      </c>
      <c r="BB435" s="178">
        <f t="shared" si="476"/>
        <v>1.6E-2</v>
      </c>
      <c r="BC435" s="178">
        <f t="shared" si="477"/>
        <v>1.3999999999999999E-2</v>
      </c>
      <c r="BD435" s="178">
        <f t="shared" si="478"/>
        <v>1.8000000000000002E-2</v>
      </c>
      <c r="BE435" s="178">
        <f t="shared" si="479"/>
        <v>1.8000000000000002E-2</v>
      </c>
      <c r="BF435" s="178">
        <f t="shared" si="480"/>
        <v>1.8000000000000002E-2</v>
      </c>
      <c r="BG435" s="178">
        <f t="shared" si="481"/>
        <v>0.02</v>
      </c>
      <c r="BH435" s="178">
        <f t="shared" si="482"/>
        <v>0.02</v>
      </c>
      <c r="BI435" s="191"/>
      <c r="BJ435" s="191"/>
      <c r="BK435" s="191"/>
      <c r="BL435" s="191"/>
      <c r="BM435" s="191"/>
      <c r="BN435" s="191"/>
      <c r="BO435" s="191"/>
      <c r="BP435" s="191"/>
    </row>
    <row r="436" spans="2:68" s="108" customFormat="1" x14ac:dyDescent="0.25">
      <c r="B436" s="107"/>
      <c r="E436" s="109" t="s">
        <v>5</v>
      </c>
      <c r="F436" s="110" t="s">
        <v>66</v>
      </c>
      <c r="G436" s="111" t="s">
        <v>54</v>
      </c>
      <c r="H436" s="112">
        <v>111232</v>
      </c>
      <c r="I436" s="112">
        <v>92894</v>
      </c>
      <c r="J436" s="112">
        <v>90980</v>
      </c>
      <c r="K436" s="112">
        <v>94792</v>
      </c>
      <c r="L436" s="112">
        <v>83866</v>
      </c>
      <c r="M436" s="112">
        <v>91844</v>
      </c>
      <c r="N436" s="112">
        <v>88648</v>
      </c>
      <c r="O436" s="112">
        <v>75928</v>
      </c>
      <c r="P436" s="112">
        <v>80879</v>
      </c>
      <c r="R436" s="111" t="s">
        <v>54</v>
      </c>
      <c r="S436" s="220">
        <v>3.9</v>
      </c>
      <c r="T436" s="220">
        <v>4.5999999999999996</v>
      </c>
      <c r="U436" s="220">
        <v>4.3</v>
      </c>
      <c r="V436" s="220">
        <v>4</v>
      </c>
      <c r="W436" s="220">
        <v>5.3</v>
      </c>
      <c r="X436" s="220">
        <v>5.5</v>
      </c>
      <c r="Y436" s="220">
        <v>5.4</v>
      </c>
      <c r="Z436" s="220">
        <v>7.1</v>
      </c>
      <c r="AA436" s="220">
        <v>7.1</v>
      </c>
      <c r="AC436" s="111" t="s">
        <v>54</v>
      </c>
      <c r="AD436" s="112">
        <f t="shared" si="486"/>
        <v>8676.0959999999995</v>
      </c>
      <c r="AE436" s="112">
        <f t="shared" si="467"/>
        <v>8546.2479999999996</v>
      </c>
      <c r="AF436" s="112">
        <f t="shared" si="468"/>
        <v>7824.28</v>
      </c>
      <c r="AG436" s="112">
        <f t="shared" si="469"/>
        <v>7583.36</v>
      </c>
      <c r="AH436" s="112">
        <f t="shared" si="470"/>
        <v>8889.7960000000003</v>
      </c>
      <c r="AI436" s="112">
        <f t="shared" si="471"/>
        <v>10102.84</v>
      </c>
      <c r="AJ436" s="112">
        <f t="shared" si="472"/>
        <v>9573.9840000000004</v>
      </c>
      <c r="AK436" s="112">
        <f t="shared" si="483"/>
        <v>10781.775999999998</v>
      </c>
      <c r="AL436" s="112">
        <f t="shared" si="484"/>
        <v>11484.818000000001</v>
      </c>
      <c r="AN436" s="111" t="s">
        <v>54</v>
      </c>
      <c r="AO436" s="113">
        <f t="shared" ref="AO436:AW436" si="521">H436/H435</f>
        <v>0.27290169042420082</v>
      </c>
      <c r="AP436" s="113">
        <f t="shared" si="521"/>
        <v>0.22941321742566434</v>
      </c>
      <c r="AQ436" s="113">
        <f t="shared" si="521"/>
        <v>0.22826719656369804</v>
      </c>
      <c r="AR436" s="113">
        <f t="shared" si="521"/>
        <v>0.23553850435335746</v>
      </c>
      <c r="AS436" s="113">
        <f t="shared" si="521"/>
        <v>0.2019504912348295</v>
      </c>
      <c r="AT436" s="113">
        <f t="shared" si="521"/>
        <v>0.21673281952775825</v>
      </c>
      <c r="AU436" s="113">
        <f t="shared" si="521"/>
        <v>0.20303843044202224</v>
      </c>
      <c r="AV436" s="113">
        <f t="shared" si="521"/>
        <v>0.17085085652695364</v>
      </c>
      <c r="AW436" s="113">
        <f t="shared" si="521"/>
        <v>0.17853019797936989</v>
      </c>
      <c r="AY436" s="111" t="s">
        <v>54</v>
      </c>
      <c r="AZ436" s="179">
        <f t="shared" si="474"/>
        <v>2.1286331853087662E-2</v>
      </c>
      <c r="BA436" s="179">
        <f t="shared" si="475"/>
        <v>2.1106016003161119E-2</v>
      </c>
      <c r="BB436" s="179">
        <f t="shared" si="476"/>
        <v>1.9630978904478031E-2</v>
      </c>
      <c r="BC436" s="179">
        <f t="shared" si="477"/>
        <v>1.8843080348268596E-2</v>
      </c>
      <c r="BD436" s="179">
        <f t="shared" si="478"/>
        <v>2.1406752070891929E-2</v>
      </c>
      <c r="BE436" s="179">
        <f t="shared" si="479"/>
        <v>2.3840610148053408E-2</v>
      </c>
      <c r="BF436" s="179">
        <f t="shared" si="480"/>
        <v>2.1928150487738406E-2</v>
      </c>
      <c r="BG436" s="179">
        <f t="shared" si="481"/>
        <v>2.4260821626827415E-2</v>
      </c>
      <c r="BH436" s="179">
        <f t="shared" si="482"/>
        <v>2.5351288113070525E-2</v>
      </c>
    </row>
    <row r="437" spans="2:68" s="108" customFormat="1" x14ac:dyDescent="0.25">
      <c r="B437" s="107"/>
      <c r="E437" s="109" t="s">
        <v>5</v>
      </c>
      <c r="F437" s="110" t="s">
        <v>66</v>
      </c>
      <c r="G437" s="111" t="s">
        <v>55</v>
      </c>
      <c r="H437" s="70">
        <v>92404</v>
      </c>
      <c r="I437" s="70">
        <v>88982</v>
      </c>
      <c r="J437" s="70">
        <v>86523</v>
      </c>
      <c r="K437" s="70">
        <v>88866</v>
      </c>
      <c r="L437" s="70">
        <v>94731</v>
      </c>
      <c r="M437" s="112">
        <v>98494</v>
      </c>
      <c r="N437" s="112">
        <v>86099</v>
      </c>
      <c r="O437" s="112">
        <v>105878</v>
      </c>
      <c r="P437" s="112">
        <v>94995</v>
      </c>
      <c r="R437" s="111" t="s">
        <v>55</v>
      </c>
      <c r="S437" s="81">
        <v>4.2</v>
      </c>
      <c r="T437" s="81">
        <v>4.7</v>
      </c>
      <c r="U437" s="81">
        <v>4.5999999999999996</v>
      </c>
      <c r="V437" s="81">
        <v>4.5</v>
      </c>
      <c r="W437" s="81">
        <v>5.0999999999999996</v>
      </c>
      <c r="X437" s="81">
        <v>5.5</v>
      </c>
      <c r="Y437" s="81">
        <v>5.9</v>
      </c>
      <c r="Z437" s="81">
        <v>6</v>
      </c>
      <c r="AA437" s="81">
        <v>6.7</v>
      </c>
      <c r="AC437" s="111" t="s">
        <v>55</v>
      </c>
      <c r="AD437" s="70">
        <f t="shared" si="486"/>
        <v>7761.9359999999997</v>
      </c>
      <c r="AE437" s="70">
        <f t="shared" si="467"/>
        <v>8364.3080000000009</v>
      </c>
      <c r="AF437" s="70">
        <f t="shared" si="468"/>
        <v>7960.116</v>
      </c>
      <c r="AG437" s="70">
        <f t="shared" si="469"/>
        <v>7997.94</v>
      </c>
      <c r="AH437" s="70">
        <f t="shared" si="470"/>
        <v>9662.5619999999999</v>
      </c>
      <c r="AI437" s="70">
        <f t="shared" si="471"/>
        <v>10834.34</v>
      </c>
      <c r="AJ437" s="70">
        <f t="shared" si="472"/>
        <v>10159.682000000001</v>
      </c>
      <c r="AK437" s="70">
        <f t="shared" si="483"/>
        <v>12705.36</v>
      </c>
      <c r="AL437" s="70">
        <f t="shared" si="484"/>
        <v>12729.33</v>
      </c>
      <c r="AN437" s="111" t="s">
        <v>55</v>
      </c>
      <c r="AO437" s="113">
        <f t="shared" ref="AO437:AW437" si="522">H437/H435</f>
        <v>0.22670821168330921</v>
      </c>
      <c r="AP437" s="113">
        <f t="shared" si="522"/>
        <v>0.21975204978761237</v>
      </c>
      <c r="AQ437" s="113">
        <f t="shared" si="522"/>
        <v>0.21708466309387608</v>
      </c>
      <c r="AR437" s="113">
        <f t="shared" si="522"/>
        <v>0.22081362064167295</v>
      </c>
      <c r="AS437" s="113">
        <f t="shared" si="522"/>
        <v>0.22811356193411675</v>
      </c>
      <c r="AT437" s="113">
        <f t="shared" si="522"/>
        <v>0.23242544234317997</v>
      </c>
      <c r="AU437" s="113">
        <f t="shared" si="522"/>
        <v>0.19720022812277402</v>
      </c>
      <c r="AV437" s="113">
        <f t="shared" si="522"/>
        <v>0.2382434278179433</v>
      </c>
      <c r="AW437" s="113">
        <f t="shared" si="522"/>
        <v>0.20968948870597118</v>
      </c>
      <c r="AY437" s="111" t="s">
        <v>55</v>
      </c>
      <c r="AZ437" s="179">
        <f t="shared" si="474"/>
        <v>1.9043489781397974E-2</v>
      </c>
      <c r="BA437" s="179">
        <f t="shared" si="475"/>
        <v>2.0656692680035563E-2</v>
      </c>
      <c r="BB437" s="179">
        <f t="shared" si="476"/>
        <v>1.9971789004636597E-2</v>
      </c>
      <c r="BC437" s="179">
        <f t="shared" si="477"/>
        <v>1.9873225857750566E-2</v>
      </c>
      <c r="BD437" s="179">
        <f t="shared" si="478"/>
        <v>2.3267583317279909E-2</v>
      </c>
      <c r="BE437" s="179">
        <f t="shared" si="479"/>
        <v>2.5566798657749797E-2</v>
      </c>
      <c r="BF437" s="179">
        <f t="shared" si="480"/>
        <v>2.3269626918487333E-2</v>
      </c>
      <c r="BG437" s="179">
        <f t="shared" si="481"/>
        <v>2.8589211338153196E-2</v>
      </c>
      <c r="BH437" s="179">
        <f t="shared" si="482"/>
        <v>2.8098391486600139E-2</v>
      </c>
    </row>
    <row r="438" spans="2:68" s="108" customFormat="1" x14ac:dyDescent="0.25">
      <c r="B438" s="107"/>
      <c r="E438" s="109" t="s">
        <v>5</v>
      </c>
      <c r="F438" s="110" t="s">
        <v>66</v>
      </c>
      <c r="G438" s="111" t="s">
        <v>130</v>
      </c>
      <c r="H438" s="70">
        <v>52117</v>
      </c>
      <c r="I438" s="70">
        <v>56231</v>
      </c>
      <c r="J438" s="70">
        <v>53491</v>
      </c>
      <c r="K438" s="70">
        <v>47684</v>
      </c>
      <c r="L438" s="70">
        <v>49415</v>
      </c>
      <c r="M438" s="70">
        <v>52567</v>
      </c>
      <c r="N438" s="70">
        <v>49133</v>
      </c>
      <c r="O438" s="112">
        <v>57205</v>
      </c>
      <c r="P438" s="112">
        <v>56607</v>
      </c>
      <c r="R438" s="111" t="s">
        <v>130</v>
      </c>
      <c r="S438" s="220">
        <v>5.7</v>
      </c>
      <c r="T438" s="220">
        <v>6.1</v>
      </c>
      <c r="U438" s="220">
        <v>6.1</v>
      </c>
      <c r="V438" s="220">
        <v>6.3</v>
      </c>
      <c r="W438" s="220">
        <v>7.5</v>
      </c>
      <c r="X438" s="220">
        <v>8</v>
      </c>
      <c r="Y438" s="220">
        <v>8.1999999999999993</v>
      </c>
      <c r="Z438" s="220">
        <v>8.3000000000000007</v>
      </c>
      <c r="AA438" s="220">
        <v>8.5</v>
      </c>
      <c r="AC438" s="111" t="s">
        <v>130</v>
      </c>
      <c r="AD438" s="70">
        <f t="shared" si="486"/>
        <v>5941.3380000000006</v>
      </c>
      <c r="AE438" s="70">
        <f t="shared" si="467"/>
        <v>6860.1819999999998</v>
      </c>
      <c r="AF438" s="70">
        <f t="shared" si="468"/>
        <v>6525.9019999999991</v>
      </c>
      <c r="AG438" s="70">
        <f t="shared" si="469"/>
        <v>6008.1840000000002</v>
      </c>
      <c r="AH438" s="70">
        <f t="shared" si="470"/>
        <v>7412.25</v>
      </c>
      <c r="AI438" s="70">
        <f t="shared" si="471"/>
        <v>8410.7199999999993</v>
      </c>
      <c r="AJ438" s="70">
        <f t="shared" si="472"/>
        <v>8057.8119999999999</v>
      </c>
      <c r="AK438" s="70">
        <f t="shared" si="483"/>
        <v>9496.0300000000007</v>
      </c>
      <c r="AL438" s="70">
        <f t="shared" si="484"/>
        <v>9623.19</v>
      </c>
      <c r="AN438" s="111" t="s">
        <v>130</v>
      </c>
      <c r="AO438" s="113">
        <f t="shared" ref="AO438:AW438" si="523">H438/H435</f>
        <v>0.12786623813145562</v>
      </c>
      <c r="AP438" s="113">
        <f t="shared" si="523"/>
        <v>0.13886940630247951</v>
      </c>
      <c r="AQ438" s="113">
        <f t="shared" si="523"/>
        <v>0.13420796451295638</v>
      </c>
      <c r="AR438" s="113">
        <f t="shared" si="523"/>
        <v>0.11848487257981155</v>
      </c>
      <c r="AS438" s="113">
        <f t="shared" si="523"/>
        <v>0.11899200539395106</v>
      </c>
      <c r="AT438" s="113">
        <f t="shared" si="523"/>
        <v>0.12404723361477797</v>
      </c>
      <c r="AU438" s="113">
        <f t="shared" si="523"/>
        <v>0.11253369735253901</v>
      </c>
      <c r="AV438" s="113">
        <f t="shared" si="523"/>
        <v>0.12872093625045283</v>
      </c>
      <c r="AW438" s="113">
        <f t="shared" si="523"/>
        <v>0.12495281738174546</v>
      </c>
      <c r="AY438" s="111" t="s">
        <v>130</v>
      </c>
      <c r="AZ438" s="179">
        <f t="shared" si="474"/>
        <v>1.457675114698594E-2</v>
      </c>
      <c r="BA438" s="179">
        <f t="shared" si="475"/>
        <v>1.69420675689025E-2</v>
      </c>
      <c r="BB438" s="179">
        <f t="shared" si="476"/>
        <v>1.6373371670580679E-2</v>
      </c>
      <c r="BC438" s="179">
        <f t="shared" si="477"/>
        <v>1.4929093945056255E-2</v>
      </c>
      <c r="BD438" s="179">
        <f t="shared" si="478"/>
        <v>1.7848800809092659E-2</v>
      </c>
      <c r="BE438" s="179">
        <f t="shared" si="479"/>
        <v>1.9847557378364477E-2</v>
      </c>
      <c r="BF438" s="179">
        <f t="shared" si="480"/>
        <v>1.8455526365816398E-2</v>
      </c>
      <c r="BG438" s="179">
        <f t="shared" si="481"/>
        <v>2.1367675417575175E-2</v>
      </c>
      <c r="BH438" s="179">
        <f t="shared" si="482"/>
        <v>2.1241978954896726E-2</v>
      </c>
    </row>
    <row r="439" spans="2:68" s="108" customFormat="1" x14ac:dyDescent="0.25">
      <c r="B439" s="107"/>
      <c r="E439" s="109" t="s">
        <v>5</v>
      </c>
      <c r="F439" s="110" t="s">
        <v>66</v>
      </c>
      <c r="G439" s="111" t="s">
        <v>131</v>
      </c>
      <c r="H439" s="112">
        <v>151544</v>
      </c>
      <c r="I439" s="112">
        <v>164330</v>
      </c>
      <c r="J439" s="112">
        <v>165873</v>
      </c>
      <c r="K439" s="112">
        <v>170073</v>
      </c>
      <c r="L439" s="112">
        <v>185821</v>
      </c>
      <c r="M439" s="112">
        <v>179523</v>
      </c>
      <c r="N439" s="112">
        <v>211430</v>
      </c>
      <c r="O439" s="112">
        <v>205400</v>
      </c>
      <c r="P439" s="112">
        <v>220547</v>
      </c>
      <c r="R439" s="111" t="s">
        <v>131</v>
      </c>
      <c r="S439" s="220">
        <v>3.1</v>
      </c>
      <c r="T439" s="220">
        <v>3.5</v>
      </c>
      <c r="U439" s="220">
        <v>2.6</v>
      </c>
      <c r="V439" s="220">
        <v>2.8</v>
      </c>
      <c r="W439" s="220">
        <v>2.9</v>
      </c>
      <c r="X439" s="220">
        <v>3.6</v>
      </c>
      <c r="Y439" s="220">
        <v>2.7</v>
      </c>
      <c r="Z439" s="220">
        <v>4</v>
      </c>
      <c r="AA439" s="220">
        <v>4.0999999999999996</v>
      </c>
      <c r="AC439" s="111" t="s">
        <v>131</v>
      </c>
      <c r="AD439" s="112">
        <f t="shared" si="486"/>
        <v>9395.728000000001</v>
      </c>
      <c r="AE439" s="112">
        <f t="shared" si="467"/>
        <v>11503.1</v>
      </c>
      <c r="AF439" s="112">
        <f t="shared" si="468"/>
        <v>8625.3960000000006</v>
      </c>
      <c r="AG439" s="112">
        <f t="shared" si="469"/>
        <v>9524.0879999999997</v>
      </c>
      <c r="AH439" s="112">
        <f t="shared" si="470"/>
        <v>10777.618</v>
      </c>
      <c r="AI439" s="112">
        <f t="shared" si="471"/>
        <v>12925.656000000001</v>
      </c>
      <c r="AJ439" s="112">
        <f t="shared" si="472"/>
        <v>11417.22</v>
      </c>
      <c r="AK439" s="112">
        <f t="shared" si="483"/>
        <v>16432</v>
      </c>
      <c r="AL439" s="112">
        <f t="shared" si="484"/>
        <v>18084.853999999999</v>
      </c>
      <c r="AN439" s="111" t="s">
        <v>131</v>
      </c>
      <c r="AO439" s="113">
        <f t="shared" ref="AO439:AW439" si="524">H439/H435</f>
        <v>0.37180500012267231</v>
      </c>
      <c r="AP439" s="113">
        <f t="shared" si="524"/>
        <v>0.40583325101254569</v>
      </c>
      <c r="AQ439" s="113">
        <f t="shared" si="524"/>
        <v>0.41617239718191124</v>
      </c>
      <c r="AR439" s="113">
        <f t="shared" si="524"/>
        <v>0.42259621118753232</v>
      </c>
      <c r="AS439" s="113">
        <f t="shared" si="524"/>
        <v>0.44745954536698129</v>
      </c>
      <c r="AT439" s="113">
        <f t="shared" si="524"/>
        <v>0.42363710160796286</v>
      </c>
      <c r="AU439" s="113">
        <f t="shared" si="524"/>
        <v>0.48425700916384756</v>
      </c>
      <c r="AV439" s="113">
        <f t="shared" si="524"/>
        <v>0.46218477940465019</v>
      </c>
      <c r="AW439" s="113">
        <f t="shared" si="524"/>
        <v>0.48682970330686692</v>
      </c>
      <c r="AY439" s="111" t="s">
        <v>131</v>
      </c>
      <c r="AZ439" s="179">
        <f t="shared" si="474"/>
        <v>2.3051910007605682E-2</v>
      </c>
      <c r="BA439" s="179">
        <f t="shared" si="475"/>
        <v>2.8408327570878199E-2</v>
      </c>
      <c r="BB439" s="179">
        <f t="shared" si="476"/>
        <v>2.1640964653459386E-2</v>
      </c>
      <c r="BC439" s="179">
        <f t="shared" si="477"/>
        <v>2.3665387826501808E-2</v>
      </c>
      <c r="BD439" s="179">
        <f t="shared" si="478"/>
        <v>2.5952653631284912E-2</v>
      </c>
      <c r="BE439" s="179">
        <f t="shared" si="479"/>
        <v>3.0501871315773327E-2</v>
      </c>
      <c r="BF439" s="179">
        <f t="shared" si="480"/>
        <v>2.6149878494847768E-2</v>
      </c>
      <c r="BG439" s="179">
        <f t="shared" si="481"/>
        <v>3.6974782352372018E-2</v>
      </c>
      <c r="BH439" s="179">
        <f t="shared" si="482"/>
        <v>3.9920035671163083E-2</v>
      </c>
    </row>
    <row r="440" spans="2:68" x14ac:dyDescent="0.3">
      <c r="H440" s="122" t="s">
        <v>122</v>
      </c>
      <c r="I440" s="122">
        <v>2003</v>
      </c>
      <c r="J440" s="122">
        <v>2005</v>
      </c>
      <c r="K440" s="122" t="s">
        <v>123</v>
      </c>
      <c r="L440" s="122" t="s">
        <v>124</v>
      </c>
      <c r="M440" s="122" t="s">
        <v>125</v>
      </c>
      <c r="N440" s="122" t="s">
        <v>126</v>
      </c>
      <c r="O440" s="122" t="s">
        <v>127</v>
      </c>
      <c r="P440" s="122" t="s">
        <v>128</v>
      </c>
      <c r="R440" s="111"/>
      <c r="S440" s="120" t="s">
        <v>122</v>
      </c>
      <c r="T440" s="121">
        <v>2003</v>
      </c>
      <c r="U440" s="121">
        <v>2005</v>
      </c>
      <c r="V440" s="122" t="s">
        <v>123</v>
      </c>
      <c r="W440" s="122" t="s">
        <v>124</v>
      </c>
      <c r="X440" s="122" t="s">
        <v>125</v>
      </c>
      <c r="Y440" s="122" t="s">
        <v>126</v>
      </c>
      <c r="Z440" s="122" t="s">
        <v>127</v>
      </c>
      <c r="AA440" s="122" t="s">
        <v>128</v>
      </c>
      <c r="AC440" s="197" t="s">
        <v>8</v>
      </c>
      <c r="AD440" s="120" t="s">
        <v>122</v>
      </c>
      <c r="AE440" s="121">
        <v>2003</v>
      </c>
      <c r="AF440" s="121">
        <v>2005</v>
      </c>
      <c r="AG440" s="122" t="s">
        <v>123</v>
      </c>
      <c r="AH440" s="122" t="s">
        <v>124</v>
      </c>
      <c r="AI440" s="122" t="s">
        <v>125</v>
      </c>
      <c r="AJ440" s="122" t="s">
        <v>126</v>
      </c>
      <c r="AK440" s="122" t="s">
        <v>127</v>
      </c>
      <c r="AL440" s="122" t="s">
        <v>128</v>
      </c>
      <c r="AN440" s="197" t="s">
        <v>8</v>
      </c>
      <c r="AO440" s="120" t="s">
        <v>122</v>
      </c>
      <c r="AP440" s="121">
        <v>2003</v>
      </c>
      <c r="AQ440" s="121">
        <v>2005</v>
      </c>
      <c r="AR440" s="122" t="s">
        <v>123</v>
      </c>
      <c r="AS440" s="122" t="s">
        <v>124</v>
      </c>
      <c r="AT440" s="122" t="s">
        <v>125</v>
      </c>
      <c r="AU440" s="122" t="s">
        <v>126</v>
      </c>
      <c r="AV440" s="122" t="s">
        <v>127</v>
      </c>
      <c r="AW440" s="122" t="s">
        <v>128</v>
      </c>
      <c r="AY440" s="197" t="s">
        <v>8</v>
      </c>
      <c r="AZ440" s="120" t="s">
        <v>122</v>
      </c>
      <c r="BA440" s="121">
        <v>2003</v>
      </c>
      <c r="BB440" s="121">
        <v>2005</v>
      </c>
      <c r="BC440" s="122" t="s">
        <v>123</v>
      </c>
      <c r="BD440" s="122" t="s">
        <v>124</v>
      </c>
      <c r="BE440" s="122" t="s">
        <v>125</v>
      </c>
      <c r="BF440" s="122" t="s">
        <v>126</v>
      </c>
      <c r="BG440" s="122" t="s">
        <v>127</v>
      </c>
      <c r="BH440" s="122" t="s">
        <v>128</v>
      </c>
    </row>
    <row r="441" spans="2:68" s="87" customFormat="1" x14ac:dyDescent="0.25">
      <c r="B441" s="84"/>
      <c r="C441" s="85"/>
      <c r="D441" s="85"/>
      <c r="E441" s="109" t="s">
        <v>0</v>
      </c>
      <c r="F441" s="110" t="s">
        <v>75</v>
      </c>
      <c r="G441" s="195" t="s">
        <v>7</v>
      </c>
      <c r="H441" s="69">
        <v>345424</v>
      </c>
      <c r="I441" s="69">
        <v>354987</v>
      </c>
      <c r="J441" s="69">
        <v>358917</v>
      </c>
      <c r="K441" s="69">
        <v>364415</v>
      </c>
      <c r="L441" s="69">
        <v>364282</v>
      </c>
      <c r="M441" s="69">
        <v>359672</v>
      </c>
      <c r="N441" s="69">
        <v>366240</v>
      </c>
      <c r="O441" s="69">
        <v>364519</v>
      </c>
      <c r="P441" s="69">
        <v>382786</v>
      </c>
      <c r="R441" s="195" t="s">
        <v>7</v>
      </c>
      <c r="S441" s="226">
        <v>1.2</v>
      </c>
      <c r="T441" s="226">
        <v>1.2</v>
      </c>
      <c r="U441" s="226">
        <v>1.2</v>
      </c>
      <c r="V441" s="226">
        <v>1.2</v>
      </c>
      <c r="W441" s="226">
        <v>1.3</v>
      </c>
      <c r="X441" s="226">
        <v>1.6</v>
      </c>
      <c r="Y441" s="226">
        <v>1.5</v>
      </c>
      <c r="Z441" s="226">
        <v>1.3</v>
      </c>
      <c r="AA441" s="226">
        <v>1.5</v>
      </c>
      <c r="AC441" s="195" t="s">
        <v>7</v>
      </c>
      <c r="AD441" s="69">
        <f>2*(H441*S441/100)</f>
        <v>8290.1759999999995</v>
      </c>
      <c r="AE441" s="69">
        <f t="shared" ref="AE441:AE480" si="525">2*(I441*T441/100)</f>
        <v>8519.6880000000001</v>
      </c>
      <c r="AF441" s="69">
        <f t="shared" ref="AF441:AF480" si="526">2*(J441*U441/100)</f>
        <v>8614.0079999999998</v>
      </c>
      <c r="AG441" s="69">
        <f t="shared" ref="AG441:AG480" si="527">2*(K441*V441/100)</f>
        <v>8745.9599999999991</v>
      </c>
      <c r="AH441" s="69">
        <f t="shared" ref="AH441:AH480" si="528">2*(L441*W441/100)</f>
        <v>9471.3320000000003</v>
      </c>
      <c r="AI441" s="69">
        <f t="shared" ref="AI441:AI480" si="529">2*(M441*X441/100)</f>
        <v>11509.504000000001</v>
      </c>
      <c r="AJ441" s="69">
        <f t="shared" ref="AJ441:AJ480" si="530">2*(N441*Y441/100)</f>
        <v>10987.2</v>
      </c>
      <c r="AK441" s="69">
        <f>2*(O441*Z441/100)</f>
        <v>9477.4940000000006</v>
      </c>
      <c r="AL441" s="69">
        <f>2*(P441*AA441/100)</f>
        <v>11483.58</v>
      </c>
      <c r="AN441" s="195" t="s">
        <v>7</v>
      </c>
      <c r="AO441" s="98">
        <f t="shared" ref="AO441:AW441" si="531">H441/H441</f>
        <v>1</v>
      </c>
      <c r="AP441" s="98">
        <f t="shared" si="531"/>
        <v>1</v>
      </c>
      <c r="AQ441" s="98">
        <f t="shared" si="531"/>
        <v>1</v>
      </c>
      <c r="AR441" s="98">
        <f t="shared" si="531"/>
        <v>1</v>
      </c>
      <c r="AS441" s="98">
        <f t="shared" si="531"/>
        <v>1</v>
      </c>
      <c r="AT441" s="98">
        <f t="shared" si="531"/>
        <v>1</v>
      </c>
      <c r="AU441" s="98">
        <f t="shared" si="531"/>
        <v>1</v>
      </c>
      <c r="AV441" s="98">
        <f t="shared" si="531"/>
        <v>1</v>
      </c>
      <c r="AW441" s="98">
        <f t="shared" si="531"/>
        <v>1</v>
      </c>
      <c r="AX441" s="191"/>
      <c r="AY441" s="195" t="s">
        <v>7</v>
      </c>
      <c r="AZ441" s="178">
        <f t="shared" ref="AZ441:AZ480" si="532">2*(S441*AO441/100)</f>
        <v>2.4E-2</v>
      </c>
      <c r="BA441" s="178">
        <f t="shared" ref="BA441:BA480" si="533">2*(T441*AP441/100)</f>
        <v>2.4E-2</v>
      </c>
      <c r="BB441" s="178">
        <f t="shared" ref="BB441:BB480" si="534">2*(U441*AQ441/100)</f>
        <v>2.4E-2</v>
      </c>
      <c r="BC441" s="178">
        <f t="shared" ref="BC441:BC480" si="535">2*(V441*AR441/100)</f>
        <v>2.4E-2</v>
      </c>
      <c r="BD441" s="178">
        <f t="shared" ref="BD441:BD480" si="536">2*(W441*AS441/100)</f>
        <v>2.6000000000000002E-2</v>
      </c>
      <c r="BE441" s="178">
        <f t="shared" ref="BE441:BE480" si="537">2*(X441*AT441/100)</f>
        <v>3.2000000000000001E-2</v>
      </c>
      <c r="BF441" s="178">
        <f t="shared" ref="BF441:BF480" si="538">2*(Y441*AU441/100)</f>
        <v>0.03</v>
      </c>
      <c r="BG441" s="178">
        <f t="shared" ref="BG441:BG480" si="539">2*(Z441*AV441/100)</f>
        <v>2.6000000000000002E-2</v>
      </c>
      <c r="BH441" s="178">
        <f t="shared" ref="BH441:BH480" si="540">2*(AA441*AW441/100)</f>
        <v>0.03</v>
      </c>
      <c r="BI441" s="191"/>
      <c r="BJ441" s="191"/>
      <c r="BK441" s="191"/>
      <c r="BL441" s="191"/>
      <c r="BM441" s="191"/>
      <c r="BN441" s="191"/>
      <c r="BO441" s="191"/>
      <c r="BP441" s="191"/>
    </row>
    <row r="442" spans="2:68" s="108" customFormat="1" x14ac:dyDescent="0.25">
      <c r="B442" s="107"/>
      <c r="E442" s="109" t="s">
        <v>0</v>
      </c>
      <c r="F442" s="110" t="s">
        <v>75</v>
      </c>
      <c r="G442" s="111" t="s">
        <v>54</v>
      </c>
      <c r="H442" s="112">
        <v>62485</v>
      </c>
      <c r="I442" s="112">
        <v>49538</v>
      </c>
      <c r="J442" s="112">
        <v>39200</v>
      </c>
      <c r="K442" s="112">
        <v>41740</v>
      </c>
      <c r="L442" s="112">
        <v>48713</v>
      </c>
      <c r="M442" s="112">
        <v>36226</v>
      </c>
      <c r="N442" s="112">
        <v>36593</v>
      </c>
      <c r="O442" s="112">
        <v>28351</v>
      </c>
      <c r="P442" s="112">
        <v>22705</v>
      </c>
      <c r="R442" s="111" t="s">
        <v>54</v>
      </c>
      <c r="S442" s="220">
        <v>7.6</v>
      </c>
      <c r="T442" s="220">
        <v>10.3</v>
      </c>
      <c r="U442" s="220">
        <v>11.3</v>
      </c>
      <c r="V442" s="220">
        <v>11.3</v>
      </c>
      <c r="W442" s="220">
        <v>11.4</v>
      </c>
      <c r="X442" s="220">
        <v>15.4</v>
      </c>
      <c r="Y442" s="220">
        <v>15.4</v>
      </c>
      <c r="Z442" s="220">
        <v>15.4</v>
      </c>
      <c r="AA442" s="220">
        <v>16.7</v>
      </c>
      <c r="AC442" s="111" t="s">
        <v>54</v>
      </c>
      <c r="AD442" s="112">
        <f>2*(H442*S442/100)</f>
        <v>9497.7199999999993</v>
      </c>
      <c r="AE442" s="112">
        <f t="shared" si="525"/>
        <v>10204.828000000001</v>
      </c>
      <c r="AF442" s="112">
        <f t="shared" si="526"/>
        <v>8859.2000000000007</v>
      </c>
      <c r="AG442" s="112">
        <f t="shared" si="527"/>
        <v>9433.2400000000016</v>
      </c>
      <c r="AH442" s="112">
        <f t="shared" si="528"/>
        <v>11106.564000000002</v>
      </c>
      <c r="AI442" s="112">
        <f t="shared" si="529"/>
        <v>11157.608</v>
      </c>
      <c r="AJ442" s="112">
        <f t="shared" si="530"/>
        <v>11270.644000000002</v>
      </c>
      <c r="AK442" s="112">
        <f t="shared" ref="AK442:AK480" si="541">2*(O442*Z442/100)</f>
        <v>8732.1080000000002</v>
      </c>
      <c r="AL442" s="112">
        <f t="shared" ref="AL442:AL480" si="542">2*(P442*AA442/100)</f>
        <v>7583.47</v>
      </c>
      <c r="AN442" s="111" t="s">
        <v>54</v>
      </c>
      <c r="AO442" s="113">
        <f t="shared" ref="AO442:AW442" si="543">H442/H441</f>
        <v>0.18089362638380657</v>
      </c>
      <c r="AP442" s="113">
        <f t="shared" si="543"/>
        <v>0.13954877220855974</v>
      </c>
      <c r="AQ442" s="113">
        <f t="shared" si="543"/>
        <v>0.10921745138848257</v>
      </c>
      <c r="AR442" s="113">
        <f t="shared" si="543"/>
        <v>0.11453974177791804</v>
      </c>
      <c r="AS442" s="113">
        <f t="shared" si="543"/>
        <v>0.13372332423781577</v>
      </c>
      <c r="AT442" s="113">
        <f t="shared" si="543"/>
        <v>0.10071954447385395</v>
      </c>
      <c r="AU442" s="113">
        <f t="shared" si="543"/>
        <v>9.9915356050677154E-2</v>
      </c>
      <c r="AV442" s="113">
        <f t="shared" si="543"/>
        <v>7.7776467070303612E-2</v>
      </c>
      <c r="AW442" s="113">
        <f t="shared" si="543"/>
        <v>5.9315126467530163E-2</v>
      </c>
      <c r="AY442" s="111" t="s">
        <v>54</v>
      </c>
      <c r="AZ442" s="179">
        <f t="shared" si="532"/>
        <v>2.7495831210338596E-2</v>
      </c>
      <c r="BA442" s="179">
        <f t="shared" si="533"/>
        <v>2.8747047074963308E-2</v>
      </c>
      <c r="BB442" s="179">
        <f t="shared" si="534"/>
        <v>2.4683144013797061E-2</v>
      </c>
      <c r="BC442" s="179">
        <f t="shared" si="535"/>
        <v>2.5885981641809476E-2</v>
      </c>
      <c r="BD442" s="179">
        <f t="shared" si="536"/>
        <v>3.0488917926221996E-2</v>
      </c>
      <c r="BE442" s="179">
        <f t="shared" si="537"/>
        <v>3.1021619697947016E-2</v>
      </c>
      <c r="BF442" s="179">
        <f t="shared" si="538"/>
        <v>3.0773929663608562E-2</v>
      </c>
      <c r="BG442" s="179">
        <f t="shared" si="539"/>
        <v>2.3955151857653512E-2</v>
      </c>
      <c r="BH442" s="179">
        <f t="shared" si="540"/>
        <v>1.9811252240155074E-2</v>
      </c>
    </row>
    <row r="443" spans="2:68" s="108" customFormat="1" x14ac:dyDescent="0.25">
      <c r="B443" s="107"/>
      <c r="E443" s="109" t="s">
        <v>0</v>
      </c>
      <c r="F443" s="110" t="s">
        <v>75</v>
      </c>
      <c r="G443" s="111" t="s">
        <v>55</v>
      </c>
      <c r="H443" s="70">
        <v>11693</v>
      </c>
      <c r="I443" s="70">
        <v>13106</v>
      </c>
      <c r="J443" s="70">
        <v>6861</v>
      </c>
      <c r="K443" s="70">
        <v>9195</v>
      </c>
      <c r="L443" s="70">
        <v>9169</v>
      </c>
      <c r="M443" s="112" t="s">
        <v>129</v>
      </c>
      <c r="N443" s="112" t="s">
        <v>129</v>
      </c>
      <c r="O443" s="112" t="s">
        <v>129</v>
      </c>
      <c r="P443" s="112" t="s">
        <v>129</v>
      </c>
      <c r="R443" s="111" t="s">
        <v>55</v>
      </c>
      <c r="S443" s="81">
        <v>19.100000000000001</v>
      </c>
      <c r="T443" s="81">
        <v>20</v>
      </c>
      <c r="U443" s="81">
        <v>29.4</v>
      </c>
      <c r="V443" s="81">
        <v>25.1</v>
      </c>
      <c r="W443" s="81">
        <v>28.2</v>
      </c>
      <c r="X443" s="81" t="s">
        <v>57</v>
      </c>
      <c r="Y443" s="81" t="s">
        <v>57</v>
      </c>
      <c r="Z443" s="81" t="s">
        <v>57</v>
      </c>
      <c r="AA443" s="81" t="s">
        <v>57</v>
      </c>
      <c r="AC443" s="111" t="s">
        <v>55</v>
      </c>
      <c r="AD443" s="70">
        <f t="shared" ref="AD443:AD480" si="544">2*(H443*S443/100)</f>
        <v>4466.7260000000006</v>
      </c>
      <c r="AE443" s="70">
        <f t="shared" si="525"/>
        <v>5242.3999999999996</v>
      </c>
      <c r="AF443" s="70">
        <f t="shared" si="526"/>
        <v>4034.268</v>
      </c>
      <c r="AG443" s="70">
        <f t="shared" si="527"/>
        <v>4615.8900000000003</v>
      </c>
      <c r="AH443" s="70">
        <f t="shared" si="528"/>
        <v>5171.3159999999998</v>
      </c>
      <c r="AI443" s="70" t="e">
        <f t="shared" si="529"/>
        <v>#VALUE!</v>
      </c>
      <c r="AJ443" s="70" t="e">
        <f t="shared" si="530"/>
        <v>#VALUE!</v>
      </c>
      <c r="AK443" s="70" t="e">
        <f t="shared" si="541"/>
        <v>#VALUE!</v>
      </c>
      <c r="AL443" s="70" t="e">
        <f t="shared" si="542"/>
        <v>#VALUE!</v>
      </c>
      <c r="AN443" s="111" t="s">
        <v>55</v>
      </c>
      <c r="AO443" s="113">
        <f t="shared" ref="AO443:AW443" si="545">H443/H441</f>
        <v>3.3851151049145399E-2</v>
      </c>
      <c r="AP443" s="113">
        <f t="shared" si="545"/>
        <v>3.6919661846771853E-2</v>
      </c>
      <c r="AQ443" s="113">
        <f t="shared" si="545"/>
        <v>1.9115840152458645E-2</v>
      </c>
      <c r="AR443" s="113">
        <f t="shared" si="545"/>
        <v>2.5232221505700918E-2</v>
      </c>
      <c r="AS443" s="113">
        <f t="shared" si="545"/>
        <v>2.5170060557480195E-2</v>
      </c>
      <c r="AT443" s="113" t="e">
        <f t="shared" si="545"/>
        <v>#VALUE!</v>
      </c>
      <c r="AU443" s="113" t="e">
        <f t="shared" si="545"/>
        <v>#VALUE!</v>
      </c>
      <c r="AV443" s="113" t="e">
        <f t="shared" si="545"/>
        <v>#VALUE!</v>
      </c>
      <c r="AW443" s="113" t="e">
        <f t="shared" si="545"/>
        <v>#VALUE!</v>
      </c>
      <c r="AY443" s="111" t="s">
        <v>55</v>
      </c>
      <c r="AZ443" s="179">
        <f t="shared" si="532"/>
        <v>1.2931139700773545E-2</v>
      </c>
      <c r="BA443" s="179">
        <f t="shared" si="533"/>
        <v>1.4767864738708742E-2</v>
      </c>
      <c r="BB443" s="179">
        <f t="shared" si="534"/>
        <v>1.1240114009645683E-2</v>
      </c>
      <c r="BC443" s="179">
        <f t="shared" si="535"/>
        <v>1.2666575195861863E-2</v>
      </c>
      <c r="BD443" s="179">
        <f t="shared" si="536"/>
        <v>1.4195914154418829E-2</v>
      </c>
      <c r="BE443" s="179" t="e">
        <f t="shared" si="537"/>
        <v>#VALUE!</v>
      </c>
      <c r="BF443" s="179" t="e">
        <f t="shared" si="538"/>
        <v>#VALUE!</v>
      </c>
      <c r="BG443" s="179" t="e">
        <f t="shared" si="539"/>
        <v>#VALUE!</v>
      </c>
      <c r="BH443" s="179" t="e">
        <f t="shared" si="540"/>
        <v>#VALUE!</v>
      </c>
    </row>
    <row r="444" spans="2:68" s="108" customFormat="1" x14ac:dyDescent="0.25">
      <c r="B444" s="107"/>
      <c r="E444" s="109" t="s">
        <v>0</v>
      </c>
      <c r="F444" s="110" t="s">
        <v>75</v>
      </c>
      <c r="G444" s="111" t="s">
        <v>130</v>
      </c>
      <c r="H444" s="70">
        <v>37282</v>
      </c>
      <c r="I444" s="70">
        <v>36917</v>
      </c>
      <c r="J444" s="70">
        <v>32334</v>
      </c>
      <c r="K444" s="70">
        <v>24377</v>
      </c>
      <c r="L444" s="70">
        <v>27015</v>
      </c>
      <c r="M444" s="70">
        <v>25276</v>
      </c>
      <c r="N444" s="70">
        <v>23406</v>
      </c>
      <c r="O444" s="112">
        <v>27076</v>
      </c>
      <c r="P444" s="112">
        <v>11877</v>
      </c>
      <c r="R444" s="111" t="s">
        <v>130</v>
      </c>
      <c r="S444" s="220">
        <v>10.3</v>
      </c>
      <c r="T444" s="220">
        <v>11.7</v>
      </c>
      <c r="U444" s="220">
        <v>12.9</v>
      </c>
      <c r="V444" s="220">
        <v>15</v>
      </c>
      <c r="W444" s="220">
        <v>16.600000000000001</v>
      </c>
      <c r="X444" s="220">
        <v>19.100000000000001</v>
      </c>
      <c r="Y444" s="220">
        <v>19.5</v>
      </c>
      <c r="Z444" s="220">
        <v>15.4</v>
      </c>
      <c r="AA444" s="220">
        <v>24.1</v>
      </c>
      <c r="AC444" s="111" t="s">
        <v>130</v>
      </c>
      <c r="AD444" s="70">
        <f t="shared" si="544"/>
        <v>7680.0920000000006</v>
      </c>
      <c r="AE444" s="70">
        <f t="shared" si="525"/>
        <v>8638.5779999999995</v>
      </c>
      <c r="AF444" s="70">
        <f t="shared" si="526"/>
        <v>8342.1720000000005</v>
      </c>
      <c r="AG444" s="70">
        <f t="shared" si="527"/>
        <v>7313.1</v>
      </c>
      <c r="AH444" s="70">
        <f t="shared" si="528"/>
        <v>8968.9800000000014</v>
      </c>
      <c r="AI444" s="70">
        <f t="shared" si="529"/>
        <v>9655.4320000000007</v>
      </c>
      <c r="AJ444" s="70">
        <f t="shared" si="530"/>
        <v>9128.34</v>
      </c>
      <c r="AK444" s="70">
        <f t="shared" si="541"/>
        <v>8339.4080000000013</v>
      </c>
      <c r="AL444" s="70">
        <f t="shared" si="542"/>
        <v>5724.7139999999999</v>
      </c>
      <c r="AN444" s="111" t="s">
        <v>130</v>
      </c>
      <c r="AO444" s="113">
        <f t="shared" ref="AO444:AW444" si="546">H444/H441</f>
        <v>0.10793112233081661</v>
      </c>
      <c r="AP444" s="113">
        <f t="shared" si="546"/>
        <v>0.10399535757647463</v>
      </c>
      <c r="AQ444" s="113">
        <f t="shared" si="546"/>
        <v>9.0087680438652951E-2</v>
      </c>
      <c r="AR444" s="113">
        <f t="shared" si="546"/>
        <v>6.6893514262585232E-2</v>
      </c>
      <c r="AS444" s="113">
        <f t="shared" si="546"/>
        <v>7.4159579666302475E-2</v>
      </c>
      <c r="AT444" s="113">
        <f t="shared" si="546"/>
        <v>7.027513957160969E-2</v>
      </c>
      <c r="AU444" s="113">
        <f t="shared" si="546"/>
        <v>6.3908912188728698E-2</v>
      </c>
      <c r="AV444" s="113">
        <f t="shared" si="546"/>
        <v>7.4278707008413825E-2</v>
      </c>
      <c r="AW444" s="113">
        <f t="shared" si="546"/>
        <v>3.1027780535338282E-2</v>
      </c>
      <c r="AY444" s="111" t="s">
        <v>130</v>
      </c>
      <c r="AZ444" s="179">
        <f t="shared" si="532"/>
        <v>2.2233811200148224E-2</v>
      </c>
      <c r="BA444" s="179">
        <f t="shared" si="533"/>
        <v>2.4334913672895059E-2</v>
      </c>
      <c r="BB444" s="179">
        <f t="shared" si="534"/>
        <v>2.3242621553172461E-2</v>
      </c>
      <c r="BC444" s="179">
        <f t="shared" si="535"/>
        <v>2.006805427877557E-2</v>
      </c>
      <c r="BD444" s="179">
        <f t="shared" si="536"/>
        <v>2.4620980449212425E-2</v>
      </c>
      <c r="BE444" s="179">
        <f t="shared" si="537"/>
        <v>2.6845103316354906E-2</v>
      </c>
      <c r="BF444" s="179">
        <f t="shared" si="538"/>
        <v>2.4924475753604191E-2</v>
      </c>
      <c r="BG444" s="179">
        <f t="shared" si="539"/>
        <v>2.2877841758591456E-2</v>
      </c>
      <c r="BH444" s="179">
        <f t="shared" si="540"/>
        <v>1.4955390218033054E-2</v>
      </c>
    </row>
    <row r="445" spans="2:68" s="108" customFormat="1" x14ac:dyDescent="0.25">
      <c r="B445" s="107"/>
      <c r="E445" s="109" t="s">
        <v>0</v>
      </c>
      <c r="F445" s="110" t="s">
        <v>75</v>
      </c>
      <c r="G445" s="111" t="s">
        <v>131</v>
      </c>
      <c r="H445" s="112">
        <v>233965</v>
      </c>
      <c r="I445" s="112">
        <v>255426</v>
      </c>
      <c r="J445" s="112">
        <v>280522</v>
      </c>
      <c r="K445" s="112">
        <v>289103</v>
      </c>
      <c r="L445" s="112">
        <v>279385</v>
      </c>
      <c r="M445" s="112">
        <v>292417</v>
      </c>
      <c r="N445" s="112">
        <v>301977</v>
      </c>
      <c r="O445" s="112">
        <v>306485</v>
      </c>
      <c r="P445" s="112">
        <v>345714</v>
      </c>
      <c r="R445" s="111" t="s">
        <v>131</v>
      </c>
      <c r="S445" s="220">
        <v>3.2</v>
      </c>
      <c r="T445" s="220">
        <v>2.5</v>
      </c>
      <c r="U445" s="220">
        <v>2.8</v>
      </c>
      <c r="V445" s="220">
        <v>2.6</v>
      </c>
      <c r="W445" s="220">
        <v>3</v>
      </c>
      <c r="X445" s="220">
        <v>3.3</v>
      </c>
      <c r="Y445" s="220">
        <v>3</v>
      </c>
      <c r="Z445" s="220">
        <v>2.5</v>
      </c>
      <c r="AA445" s="220">
        <v>1.5</v>
      </c>
      <c r="AC445" s="111" t="s">
        <v>131</v>
      </c>
      <c r="AD445" s="112">
        <f t="shared" si="544"/>
        <v>14973.76</v>
      </c>
      <c r="AE445" s="112">
        <f t="shared" si="525"/>
        <v>12771.3</v>
      </c>
      <c r="AF445" s="112">
        <f t="shared" si="526"/>
        <v>15709.232</v>
      </c>
      <c r="AG445" s="112">
        <f t="shared" si="527"/>
        <v>15033.356000000002</v>
      </c>
      <c r="AH445" s="112">
        <f t="shared" si="528"/>
        <v>16763.099999999999</v>
      </c>
      <c r="AI445" s="112">
        <f t="shared" si="529"/>
        <v>19299.522000000001</v>
      </c>
      <c r="AJ445" s="112">
        <f t="shared" si="530"/>
        <v>18118.62</v>
      </c>
      <c r="AK445" s="112">
        <f t="shared" si="541"/>
        <v>15324.25</v>
      </c>
      <c r="AL445" s="112">
        <f t="shared" si="542"/>
        <v>10371.42</v>
      </c>
      <c r="AN445" s="111" t="s">
        <v>131</v>
      </c>
      <c r="AO445" s="113">
        <f t="shared" ref="AO445:AW445" si="547">H445/H441</f>
        <v>0.67732699522905182</v>
      </c>
      <c r="AP445" s="113">
        <f t="shared" si="547"/>
        <v>0.71953620836819376</v>
      </c>
      <c r="AQ445" s="113">
        <f t="shared" si="547"/>
        <v>0.7815790280204058</v>
      </c>
      <c r="AR445" s="113">
        <f t="shared" si="547"/>
        <v>0.79333452245379577</v>
      </c>
      <c r="AS445" s="113">
        <f t="shared" si="547"/>
        <v>0.7669470355384016</v>
      </c>
      <c r="AT445" s="113">
        <f t="shared" si="547"/>
        <v>0.81301018705932071</v>
      </c>
      <c r="AU445" s="113">
        <f t="shared" si="547"/>
        <v>0.82453309305373523</v>
      </c>
      <c r="AV445" s="113">
        <f t="shared" si="547"/>
        <v>0.84079293534767729</v>
      </c>
      <c r="AW445" s="113">
        <f t="shared" si="547"/>
        <v>0.9031521529000538</v>
      </c>
      <c r="AY445" s="111" t="s">
        <v>131</v>
      </c>
      <c r="AZ445" s="179">
        <f t="shared" si="532"/>
        <v>4.3348927694659319E-2</v>
      </c>
      <c r="BA445" s="179">
        <f t="shared" si="533"/>
        <v>3.5976810418409687E-2</v>
      </c>
      <c r="BB445" s="179">
        <f t="shared" si="534"/>
        <v>4.3768425569142719E-2</v>
      </c>
      <c r="BC445" s="179">
        <f t="shared" si="535"/>
        <v>4.1253395167597386E-2</v>
      </c>
      <c r="BD445" s="179">
        <f t="shared" si="536"/>
        <v>4.6016822132304097E-2</v>
      </c>
      <c r="BE445" s="179">
        <f t="shared" si="537"/>
        <v>5.3658672345915169E-2</v>
      </c>
      <c r="BF445" s="179">
        <f t="shared" si="538"/>
        <v>4.9471985583224118E-2</v>
      </c>
      <c r="BG445" s="179">
        <f t="shared" si="539"/>
        <v>4.2039646767383865E-2</v>
      </c>
      <c r="BH445" s="179">
        <f t="shared" si="540"/>
        <v>2.7094564587001612E-2</v>
      </c>
    </row>
    <row r="446" spans="2:68" s="87" customFormat="1" x14ac:dyDescent="0.25">
      <c r="B446" s="84"/>
      <c r="C446" s="85"/>
      <c r="D446" s="85"/>
      <c r="E446" s="109" t="s">
        <v>1</v>
      </c>
      <c r="F446" s="110" t="s">
        <v>75</v>
      </c>
      <c r="G446" s="195" t="s">
        <v>7</v>
      </c>
      <c r="H446" s="69">
        <v>445432</v>
      </c>
      <c r="I446" s="69">
        <v>470481</v>
      </c>
      <c r="J446" s="69">
        <v>488750</v>
      </c>
      <c r="K446" s="69">
        <v>547440</v>
      </c>
      <c r="L446" s="69">
        <v>577522</v>
      </c>
      <c r="M446" s="69">
        <v>589702</v>
      </c>
      <c r="N446" s="69">
        <v>613935</v>
      </c>
      <c r="O446" s="69">
        <v>580167</v>
      </c>
      <c r="P446" s="69">
        <v>583708</v>
      </c>
      <c r="R446" s="195" t="s">
        <v>7</v>
      </c>
      <c r="S446" s="226">
        <v>1</v>
      </c>
      <c r="T446" s="226">
        <v>1.1000000000000001</v>
      </c>
      <c r="U446" s="226">
        <v>1</v>
      </c>
      <c r="V446" s="226">
        <v>1.1000000000000001</v>
      </c>
      <c r="W446" s="226">
        <v>1.2</v>
      </c>
      <c r="X446" s="226">
        <v>1.1000000000000001</v>
      </c>
      <c r="Y446" s="226">
        <v>1.1000000000000001</v>
      </c>
      <c r="Z446" s="226">
        <v>1.1000000000000001</v>
      </c>
      <c r="AA446" s="226">
        <v>0.9</v>
      </c>
      <c r="AC446" s="195" t="s">
        <v>7</v>
      </c>
      <c r="AD446" s="69">
        <f t="shared" si="544"/>
        <v>8908.64</v>
      </c>
      <c r="AE446" s="69">
        <f t="shared" si="525"/>
        <v>10350.582</v>
      </c>
      <c r="AF446" s="69">
        <f t="shared" si="526"/>
        <v>9775</v>
      </c>
      <c r="AG446" s="69">
        <f t="shared" si="527"/>
        <v>12043.68</v>
      </c>
      <c r="AH446" s="69">
        <f t="shared" si="528"/>
        <v>13860.528</v>
      </c>
      <c r="AI446" s="69">
        <f t="shared" si="529"/>
        <v>12973.444000000001</v>
      </c>
      <c r="AJ446" s="69">
        <f t="shared" si="530"/>
        <v>13506.57</v>
      </c>
      <c r="AK446" s="69">
        <f t="shared" si="541"/>
        <v>12763.674000000001</v>
      </c>
      <c r="AL446" s="69">
        <f t="shared" si="542"/>
        <v>10506.744000000001</v>
      </c>
      <c r="AN446" s="195" t="s">
        <v>7</v>
      </c>
      <c r="AO446" s="98">
        <f t="shared" ref="AO446:AW446" si="548">H446/H446</f>
        <v>1</v>
      </c>
      <c r="AP446" s="98">
        <f t="shared" si="548"/>
        <v>1</v>
      </c>
      <c r="AQ446" s="98">
        <f t="shared" si="548"/>
        <v>1</v>
      </c>
      <c r="AR446" s="98">
        <f t="shared" si="548"/>
        <v>1</v>
      </c>
      <c r="AS446" s="98">
        <f t="shared" si="548"/>
        <v>1</v>
      </c>
      <c r="AT446" s="98">
        <f t="shared" si="548"/>
        <v>1</v>
      </c>
      <c r="AU446" s="98">
        <f t="shared" si="548"/>
        <v>1</v>
      </c>
      <c r="AV446" s="98">
        <f t="shared" si="548"/>
        <v>1</v>
      </c>
      <c r="AW446" s="98">
        <f t="shared" si="548"/>
        <v>1</v>
      </c>
      <c r="AX446" s="191"/>
      <c r="AY446" s="195" t="s">
        <v>7</v>
      </c>
      <c r="AZ446" s="178">
        <f t="shared" si="532"/>
        <v>0.02</v>
      </c>
      <c r="BA446" s="178">
        <f t="shared" si="533"/>
        <v>2.2000000000000002E-2</v>
      </c>
      <c r="BB446" s="178">
        <f t="shared" si="534"/>
        <v>0.02</v>
      </c>
      <c r="BC446" s="178">
        <f t="shared" si="535"/>
        <v>2.2000000000000002E-2</v>
      </c>
      <c r="BD446" s="178">
        <f t="shared" si="536"/>
        <v>2.4E-2</v>
      </c>
      <c r="BE446" s="178">
        <f t="shared" si="537"/>
        <v>2.2000000000000002E-2</v>
      </c>
      <c r="BF446" s="178">
        <f t="shared" si="538"/>
        <v>2.2000000000000002E-2</v>
      </c>
      <c r="BG446" s="178">
        <f t="shared" si="539"/>
        <v>2.2000000000000002E-2</v>
      </c>
      <c r="BH446" s="178">
        <f t="shared" si="540"/>
        <v>1.8000000000000002E-2</v>
      </c>
      <c r="BI446" s="191"/>
      <c r="BJ446" s="191"/>
      <c r="BK446" s="191"/>
      <c r="BL446" s="191"/>
      <c r="BM446" s="191"/>
      <c r="BN446" s="191"/>
      <c r="BO446" s="191"/>
      <c r="BP446" s="191"/>
    </row>
    <row r="447" spans="2:68" s="108" customFormat="1" x14ac:dyDescent="0.25">
      <c r="B447" s="107"/>
      <c r="E447" s="109" t="s">
        <v>1</v>
      </c>
      <c r="F447" s="110" t="s">
        <v>75</v>
      </c>
      <c r="G447" s="111" t="s">
        <v>54</v>
      </c>
      <c r="H447" s="112">
        <v>161274</v>
      </c>
      <c r="I447" s="112">
        <v>155457</v>
      </c>
      <c r="J447" s="112">
        <v>145412</v>
      </c>
      <c r="K447" s="112">
        <v>167559</v>
      </c>
      <c r="L447" s="112">
        <v>172422</v>
      </c>
      <c r="M447" s="112">
        <v>171142</v>
      </c>
      <c r="N447" s="112">
        <v>160372</v>
      </c>
      <c r="O447" s="112">
        <v>126060</v>
      </c>
      <c r="P447" s="112">
        <v>126969</v>
      </c>
      <c r="R447" s="111" t="s">
        <v>54</v>
      </c>
      <c r="S447" s="220">
        <v>4.2</v>
      </c>
      <c r="T447" s="220">
        <v>5</v>
      </c>
      <c r="U447" s="220">
        <v>5.2</v>
      </c>
      <c r="V447" s="220">
        <v>5.2</v>
      </c>
      <c r="W447" s="220">
        <v>5.8</v>
      </c>
      <c r="X447" s="220">
        <v>6.8</v>
      </c>
      <c r="Y447" s="220">
        <v>6.8</v>
      </c>
      <c r="Z447" s="220">
        <v>6.3</v>
      </c>
      <c r="AA447" s="220">
        <v>6.4</v>
      </c>
      <c r="AC447" s="111" t="s">
        <v>54</v>
      </c>
      <c r="AD447" s="112">
        <f t="shared" si="544"/>
        <v>13547.016000000001</v>
      </c>
      <c r="AE447" s="112">
        <f t="shared" si="525"/>
        <v>15545.7</v>
      </c>
      <c r="AF447" s="112">
        <f t="shared" si="526"/>
        <v>15122.848</v>
      </c>
      <c r="AG447" s="112">
        <f t="shared" si="527"/>
        <v>17426.136000000002</v>
      </c>
      <c r="AH447" s="112">
        <f t="shared" si="528"/>
        <v>20000.952000000001</v>
      </c>
      <c r="AI447" s="112">
        <f t="shared" si="529"/>
        <v>23275.311999999998</v>
      </c>
      <c r="AJ447" s="112">
        <f t="shared" si="530"/>
        <v>21810.591999999997</v>
      </c>
      <c r="AK447" s="112">
        <f t="shared" si="541"/>
        <v>15883.56</v>
      </c>
      <c r="AL447" s="112">
        <f t="shared" si="542"/>
        <v>16252.032000000001</v>
      </c>
      <c r="AN447" s="111" t="s">
        <v>54</v>
      </c>
      <c r="AO447" s="113">
        <f t="shared" ref="AO447:AW447" si="549">H447/H446</f>
        <v>0.36206199823991092</v>
      </c>
      <c r="AP447" s="113">
        <f t="shared" si="549"/>
        <v>0.33042141978103262</v>
      </c>
      <c r="AQ447" s="113">
        <f t="shared" si="549"/>
        <v>0.29751815856777492</v>
      </c>
      <c r="AR447" s="113">
        <f t="shared" si="549"/>
        <v>0.30607737834283211</v>
      </c>
      <c r="AS447" s="113">
        <f t="shared" si="549"/>
        <v>0.29855486024774813</v>
      </c>
      <c r="AT447" s="113">
        <f t="shared" si="549"/>
        <v>0.29021777100976426</v>
      </c>
      <c r="AU447" s="113">
        <f t="shared" si="549"/>
        <v>0.26121983597612125</v>
      </c>
      <c r="AV447" s="113">
        <f t="shared" si="549"/>
        <v>0.21728226527879041</v>
      </c>
      <c r="AW447" s="113">
        <f t="shared" si="549"/>
        <v>0.21752143194885115</v>
      </c>
      <c r="AY447" s="111" t="s">
        <v>54</v>
      </c>
      <c r="AZ447" s="179">
        <f t="shared" si="532"/>
        <v>3.0413207852152516E-2</v>
      </c>
      <c r="BA447" s="179">
        <f t="shared" si="533"/>
        <v>3.3042141978103262E-2</v>
      </c>
      <c r="BB447" s="179">
        <f t="shared" si="534"/>
        <v>3.0941888491048591E-2</v>
      </c>
      <c r="BC447" s="179">
        <f t="shared" si="535"/>
        <v>3.1832047347654539E-2</v>
      </c>
      <c r="BD447" s="179">
        <f t="shared" si="536"/>
        <v>3.4632363788738782E-2</v>
      </c>
      <c r="BE447" s="179">
        <f t="shared" si="537"/>
        <v>3.9469616857327937E-2</v>
      </c>
      <c r="BF447" s="179">
        <f t="shared" si="538"/>
        <v>3.5525897692752488E-2</v>
      </c>
      <c r="BG447" s="179">
        <f t="shared" si="539"/>
        <v>2.7377565425127592E-2</v>
      </c>
      <c r="BH447" s="179">
        <f t="shared" si="540"/>
        <v>2.7842743289452951E-2</v>
      </c>
    </row>
    <row r="448" spans="2:68" s="108" customFormat="1" x14ac:dyDescent="0.25">
      <c r="B448" s="107"/>
      <c r="E448" s="109" t="s">
        <v>1</v>
      </c>
      <c r="F448" s="110" t="s">
        <v>75</v>
      </c>
      <c r="G448" s="111" t="s">
        <v>55</v>
      </c>
      <c r="H448" s="70">
        <v>46974</v>
      </c>
      <c r="I448" s="70">
        <v>81148</v>
      </c>
      <c r="J448" s="70">
        <v>79980</v>
      </c>
      <c r="K448" s="70">
        <v>85873</v>
      </c>
      <c r="L448" s="70">
        <v>70901</v>
      </c>
      <c r="M448" s="112">
        <v>67199</v>
      </c>
      <c r="N448" s="112">
        <v>64394</v>
      </c>
      <c r="O448" s="112">
        <v>61402</v>
      </c>
      <c r="P448" s="112">
        <v>53091</v>
      </c>
      <c r="R448" s="111" t="s">
        <v>55</v>
      </c>
      <c r="S448" s="81">
        <v>9.1</v>
      </c>
      <c r="T448" s="81">
        <v>7.5</v>
      </c>
      <c r="U448" s="81">
        <v>7.7</v>
      </c>
      <c r="V448" s="81">
        <v>7.6</v>
      </c>
      <c r="W448" s="81">
        <v>9.6999999999999993</v>
      </c>
      <c r="X448" s="81">
        <v>10.9</v>
      </c>
      <c r="Y448" s="81">
        <v>12.1</v>
      </c>
      <c r="Z448" s="81">
        <v>9.6999999999999993</v>
      </c>
      <c r="AA448" s="81">
        <v>11.1</v>
      </c>
      <c r="AC448" s="111" t="s">
        <v>55</v>
      </c>
      <c r="AD448" s="70">
        <f t="shared" si="544"/>
        <v>8549.268</v>
      </c>
      <c r="AE448" s="70">
        <f t="shared" si="525"/>
        <v>12172.2</v>
      </c>
      <c r="AF448" s="70">
        <f t="shared" si="526"/>
        <v>12316.92</v>
      </c>
      <c r="AG448" s="70">
        <f t="shared" si="527"/>
        <v>13052.695999999998</v>
      </c>
      <c r="AH448" s="70">
        <f t="shared" si="528"/>
        <v>13754.794</v>
      </c>
      <c r="AI448" s="70">
        <f t="shared" si="529"/>
        <v>14649.382</v>
      </c>
      <c r="AJ448" s="70">
        <f t="shared" si="530"/>
        <v>15583.348</v>
      </c>
      <c r="AK448" s="70">
        <f t="shared" si="541"/>
        <v>11911.987999999998</v>
      </c>
      <c r="AL448" s="70">
        <f t="shared" si="542"/>
        <v>11786.201999999999</v>
      </c>
      <c r="AN448" s="111" t="s">
        <v>55</v>
      </c>
      <c r="AO448" s="113">
        <f t="shared" ref="AO448:AW448" si="550">H448/H446</f>
        <v>0.10545717415901866</v>
      </c>
      <c r="AP448" s="113">
        <f t="shared" si="550"/>
        <v>0.17247880360737203</v>
      </c>
      <c r="AQ448" s="113">
        <f t="shared" si="550"/>
        <v>0.16364194373401533</v>
      </c>
      <c r="AR448" s="113">
        <f t="shared" si="550"/>
        <v>0.15686285255005114</v>
      </c>
      <c r="AS448" s="113">
        <f t="shared" si="550"/>
        <v>0.12276761751067491</v>
      </c>
      <c r="AT448" s="113">
        <f t="shared" si="550"/>
        <v>0.11395416668079809</v>
      </c>
      <c r="AU448" s="113">
        <f t="shared" si="550"/>
        <v>0.10488732520543706</v>
      </c>
      <c r="AV448" s="113">
        <f t="shared" si="550"/>
        <v>0.10583504404766214</v>
      </c>
      <c r="AW448" s="113">
        <f t="shared" si="550"/>
        <v>9.0954723937311119E-2</v>
      </c>
      <c r="AY448" s="111" t="s">
        <v>55</v>
      </c>
      <c r="AZ448" s="179">
        <f t="shared" si="532"/>
        <v>1.9193205696941395E-2</v>
      </c>
      <c r="BA448" s="179">
        <f t="shared" si="533"/>
        <v>2.5871820541105803E-2</v>
      </c>
      <c r="BB448" s="179">
        <f t="shared" si="534"/>
        <v>2.5200859335038364E-2</v>
      </c>
      <c r="BC448" s="179">
        <f t="shared" si="535"/>
        <v>2.384315358760777E-2</v>
      </c>
      <c r="BD448" s="179">
        <f t="shared" si="536"/>
        <v>2.381691779707093E-2</v>
      </c>
      <c r="BE448" s="179">
        <f t="shared" si="537"/>
        <v>2.4842008336413986E-2</v>
      </c>
      <c r="BF448" s="179">
        <f t="shared" si="538"/>
        <v>2.538273269971577E-2</v>
      </c>
      <c r="BG448" s="179">
        <f t="shared" si="539"/>
        <v>2.0531998545246455E-2</v>
      </c>
      <c r="BH448" s="179">
        <f t="shared" si="540"/>
        <v>2.0191948714083065E-2</v>
      </c>
    </row>
    <row r="449" spans="2:68" s="108" customFormat="1" x14ac:dyDescent="0.25">
      <c r="B449" s="107"/>
      <c r="E449" s="109" t="s">
        <v>1</v>
      </c>
      <c r="F449" s="110" t="s">
        <v>75</v>
      </c>
      <c r="G449" s="111" t="s">
        <v>130</v>
      </c>
      <c r="H449" s="70">
        <v>71698</v>
      </c>
      <c r="I449" s="70">
        <v>64906</v>
      </c>
      <c r="J449" s="70">
        <v>70844</v>
      </c>
      <c r="K449" s="70">
        <v>69410</v>
      </c>
      <c r="L449" s="70">
        <v>90248</v>
      </c>
      <c r="M449" s="70">
        <v>83131</v>
      </c>
      <c r="N449" s="70">
        <v>95394</v>
      </c>
      <c r="O449" s="112">
        <v>93421</v>
      </c>
      <c r="P449" s="112">
        <v>88252</v>
      </c>
      <c r="R449" s="111" t="s">
        <v>130</v>
      </c>
      <c r="S449" s="220">
        <v>7.1</v>
      </c>
      <c r="T449" s="220">
        <v>8.9</v>
      </c>
      <c r="U449" s="220">
        <v>8.1999999999999993</v>
      </c>
      <c r="V449" s="220">
        <v>8.9</v>
      </c>
      <c r="W449" s="220">
        <v>8.3000000000000007</v>
      </c>
      <c r="X449" s="220">
        <v>9.9</v>
      </c>
      <c r="Y449" s="220">
        <v>9.6</v>
      </c>
      <c r="Z449" s="220">
        <v>7.7</v>
      </c>
      <c r="AA449" s="220">
        <v>8.1</v>
      </c>
      <c r="AC449" s="111" t="s">
        <v>130</v>
      </c>
      <c r="AD449" s="70">
        <f t="shared" si="544"/>
        <v>10181.116</v>
      </c>
      <c r="AE449" s="70">
        <f t="shared" si="525"/>
        <v>11553.268</v>
      </c>
      <c r="AF449" s="70">
        <f t="shared" si="526"/>
        <v>11618.415999999999</v>
      </c>
      <c r="AG449" s="70">
        <f t="shared" si="527"/>
        <v>12354.98</v>
      </c>
      <c r="AH449" s="70">
        <f t="shared" si="528"/>
        <v>14981.168</v>
      </c>
      <c r="AI449" s="70">
        <f t="shared" si="529"/>
        <v>16459.938000000002</v>
      </c>
      <c r="AJ449" s="70">
        <f t="shared" si="530"/>
        <v>18315.648000000001</v>
      </c>
      <c r="AK449" s="70">
        <f t="shared" si="541"/>
        <v>14386.834000000001</v>
      </c>
      <c r="AL449" s="70">
        <f t="shared" si="542"/>
        <v>14296.823999999999</v>
      </c>
      <c r="AN449" s="111" t="s">
        <v>130</v>
      </c>
      <c r="AO449" s="113">
        <f t="shared" ref="AO449:AW449" si="551">H449/H446</f>
        <v>0.16096284056825733</v>
      </c>
      <c r="AP449" s="113">
        <f t="shared" si="551"/>
        <v>0.13795668688002277</v>
      </c>
      <c r="AQ449" s="113">
        <f t="shared" si="551"/>
        <v>0.14494936061381075</v>
      </c>
      <c r="AR449" s="113">
        <f t="shared" si="551"/>
        <v>0.12679015051877832</v>
      </c>
      <c r="AS449" s="113">
        <f t="shared" si="551"/>
        <v>0.15626764002063992</v>
      </c>
      <c r="AT449" s="113">
        <f t="shared" si="551"/>
        <v>0.14097120240392605</v>
      </c>
      <c r="AU449" s="113">
        <f t="shared" si="551"/>
        <v>0.15538127000415353</v>
      </c>
      <c r="AV449" s="113">
        <f t="shared" si="551"/>
        <v>0.16102432575448103</v>
      </c>
      <c r="AW449" s="113">
        <f t="shared" si="551"/>
        <v>0.15119203437335105</v>
      </c>
      <c r="AY449" s="111" t="s">
        <v>130</v>
      </c>
      <c r="AZ449" s="179">
        <f t="shared" si="532"/>
        <v>2.2856723360692541E-2</v>
      </c>
      <c r="BA449" s="179">
        <f t="shared" si="533"/>
        <v>2.4556290264644055E-2</v>
      </c>
      <c r="BB449" s="179">
        <f t="shared" si="534"/>
        <v>2.3771695140664958E-2</v>
      </c>
      <c r="BC449" s="179">
        <f t="shared" si="535"/>
        <v>2.256864679234254E-2</v>
      </c>
      <c r="BD449" s="179">
        <f t="shared" si="536"/>
        <v>2.5940428243426229E-2</v>
      </c>
      <c r="BE449" s="179">
        <f t="shared" si="537"/>
        <v>2.7912298075977358E-2</v>
      </c>
      <c r="BF449" s="179">
        <f t="shared" si="538"/>
        <v>2.9833203840797476E-2</v>
      </c>
      <c r="BG449" s="179">
        <f t="shared" si="539"/>
        <v>2.4797746166190078E-2</v>
      </c>
      <c r="BH449" s="179">
        <f t="shared" si="540"/>
        <v>2.4493109568482871E-2</v>
      </c>
    </row>
    <row r="450" spans="2:68" s="108" customFormat="1" x14ac:dyDescent="0.25">
      <c r="B450" s="107"/>
      <c r="E450" s="109" t="s">
        <v>1</v>
      </c>
      <c r="F450" s="110" t="s">
        <v>75</v>
      </c>
      <c r="G450" s="111" t="s">
        <v>131</v>
      </c>
      <c r="H450" s="112">
        <v>165441</v>
      </c>
      <c r="I450" s="112">
        <v>168928</v>
      </c>
      <c r="J450" s="112">
        <v>192515</v>
      </c>
      <c r="K450" s="112">
        <v>224598</v>
      </c>
      <c r="L450" s="112">
        <v>243951</v>
      </c>
      <c r="M450" s="112">
        <v>268231</v>
      </c>
      <c r="N450" s="112">
        <v>293775</v>
      </c>
      <c r="O450" s="112">
        <v>299284</v>
      </c>
      <c r="P450" s="112">
        <v>315396</v>
      </c>
      <c r="R450" s="111" t="s">
        <v>131</v>
      </c>
      <c r="S450" s="220">
        <v>4.2</v>
      </c>
      <c r="T450" s="220">
        <v>4.8</v>
      </c>
      <c r="U450" s="220">
        <v>4.8</v>
      </c>
      <c r="V450" s="220">
        <v>4.0999999999999996</v>
      </c>
      <c r="W450" s="220">
        <v>4.7</v>
      </c>
      <c r="X450" s="220">
        <v>4.7</v>
      </c>
      <c r="Y450" s="220">
        <v>4.3</v>
      </c>
      <c r="Z450" s="220">
        <v>3.5</v>
      </c>
      <c r="AA450" s="220">
        <v>3.3</v>
      </c>
      <c r="AC450" s="111" t="s">
        <v>131</v>
      </c>
      <c r="AD450" s="112">
        <f t="shared" si="544"/>
        <v>13897.044000000002</v>
      </c>
      <c r="AE450" s="112">
        <f t="shared" si="525"/>
        <v>16217.088</v>
      </c>
      <c r="AF450" s="112">
        <f t="shared" si="526"/>
        <v>18481.439999999999</v>
      </c>
      <c r="AG450" s="112">
        <f t="shared" si="527"/>
        <v>18417.036</v>
      </c>
      <c r="AH450" s="112">
        <f t="shared" si="528"/>
        <v>22931.394</v>
      </c>
      <c r="AI450" s="112">
        <f t="shared" si="529"/>
        <v>25213.714</v>
      </c>
      <c r="AJ450" s="112">
        <f t="shared" si="530"/>
        <v>25264.65</v>
      </c>
      <c r="AK450" s="112">
        <f t="shared" si="541"/>
        <v>20949.88</v>
      </c>
      <c r="AL450" s="112">
        <f t="shared" si="542"/>
        <v>20816.135999999999</v>
      </c>
      <c r="AN450" s="111" t="s">
        <v>131</v>
      </c>
      <c r="AO450" s="113">
        <f t="shared" ref="AO450:AW450" si="552">H450/H446</f>
        <v>0.37141696151152143</v>
      </c>
      <c r="AP450" s="113">
        <f t="shared" si="552"/>
        <v>0.35905381938909331</v>
      </c>
      <c r="AQ450" s="113">
        <f t="shared" si="552"/>
        <v>0.39389258312020459</v>
      </c>
      <c r="AR450" s="113">
        <f t="shared" si="552"/>
        <v>0.41026961858833844</v>
      </c>
      <c r="AS450" s="113">
        <f t="shared" si="552"/>
        <v>0.42240988222093706</v>
      </c>
      <c r="AT450" s="113">
        <f t="shared" si="552"/>
        <v>0.45485855567727429</v>
      </c>
      <c r="AU450" s="113">
        <f t="shared" si="552"/>
        <v>0.47851156881428814</v>
      </c>
      <c r="AV450" s="113">
        <f t="shared" si="552"/>
        <v>0.51585836491906645</v>
      </c>
      <c r="AW450" s="113">
        <f t="shared" si="552"/>
        <v>0.54033180974048667</v>
      </c>
      <c r="AY450" s="111" t="s">
        <v>131</v>
      </c>
      <c r="AZ450" s="179">
        <f t="shared" si="532"/>
        <v>3.1199024766967801E-2</v>
      </c>
      <c r="BA450" s="179">
        <f t="shared" si="533"/>
        <v>3.4469166661352954E-2</v>
      </c>
      <c r="BB450" s="179">
        <f t="shared" si="534"/>
        <v>3.7813687979539636E-2</v>
      </c>
      <c r="BC450" s="179">
        <f t="shared" si="535"/>
        <v>3.3642108724243752E-2</v>
      </c>
      <c r="BD450" s="179">
        <f t="shared" si="536"/>
        <v>3.9706528928768081E-2</v>
      </c>
      <c r="BE450" s="179">
        <f t="shared" si="537"/>
        <v>4.2756704233663782E-2</v>
      </c>
      <c r="BF450" s="179">
        <f t="shared" si="538"/>
        <v>4.1151994918028782E-2</v>
      </c>
      <c r="BG450" s="179">
        <f t="shared" si="539"/>
        <v>3.6110085544334654E-2</v>
      </c>
      <c r="BH450" s="179">
        <f t="shared" si="540"/>
        <v>3.5661899442872118E-2</v>
      </c>
    </row>
    <row r="451" spans="2:68" s="87" customFormat="1" x14ac:dyDescent="0.25">
      <c r="B451" s="84"/>
      <c r="C451" s="85"/>
      <c r="D451" s="85"/>
      <c r="E451" s="109" t="s">
        <v>2</v>
      </c>
      <c r="F451" s="110" t="s">
        <v>75</v>
      </c>
      <c r="G451" s="195" t="s">
        <v>7</v>
      </c>
      <c r="H451" s="69">
        <v>747564</v>
      </c>
      <c r="I451" s="69">
        <v>740626</v>
      </c>
      <c r="J451" s="69">
        <v>732847</v>
      </c>
      <c r="K451" s="69">
        <v>769807</v>
      </c>
      <c r="L451" s="69">
        <v>798699</v>
      </c>
      <c r="M451" s="69">
        <v>835413</v>
      </c>
      <c r="N451" s="69">
        <v>911423</v>
      </c>
      <c r="O451" s="69">
        <v>1023172</v>
      </c>
      <c r="P451" s="69">
        <v>1003664</v>
      </c>
      <c r="R451" s="195" t="s">
        <v>7</v>
      </c>
      <c r="S451" s="226">
        <v>0.9</v>
      </c>
      <c r="T451" s="226">
        <v>1</v>
      </c>
      <c r="U451" s="226">
        <v>0.8</v>
      </c>
      <c r="V451" s="226">
        <v>0.8</v>
      </c>
      <c r="W451" s="226">
        <v>1</v>
      </c>
      <c r="X451" s="226">
        <v>1</v>
      </c>
      <c r="Y451" s="226">
        <v>1.1000000000000001</v>
      </c>
      <c r="Z451" s="226">
        <v>0.8</v>
      </c>
      <c r="AA451" s="226">
        <v>0.9</v>
      </c>
      <c r="AC451" s="195" t="s">
        <v>7</v>
      </c>
      <c r="AD451" s="69">
        <f t="shared" si="544"/>
        <v>13456.152</v>
      </c>
      <c r="AE451" s="69">
        <f t="shared" si="525"/>
        <v>14812.52</v>
      </c>
      <c r="AF451" s="69">
        <f t="shared" si="526"/>
        <v>11725.552</v>
      </c>
      <c r="AG451" s="69">
        <f t="shared" si="527"/>
        <v>12316.912</v>
      </c>
      <c r="AH451" s="69">
        <f t="shared" si="528"/>
        <v>15973.98</v>
      </c>
      <c r="AI451" s="69">
        <f t="shared" si="529"/>
        <v>16708.259999999998</v>
      </c>
      <c r="AJ451" s="69">
        <f t="shared" si="530"/>
        <v>20051.306</v>
      </c>
      <c r="AK451" s="69">
        <f t="shared" si="541"/>
        <v>16370.752000000002</v>
      </c>
      <c r="AL451" s="69">
        <f t="shared" si="542"/>
        <v>18065.952000000001</v>
      </c>
      <c r="AN451" s="195" t="s">
        <v>7</v>
      </c>
      <c r="AO451" s="98">
        <f t="shared" ref="AO451:AW451" si="553">H451/H451</f>
        <v>1</v>
      </c>
      <c r="AP451" s="98">
        <f t="shared" si="553"/>
        <v>1</v>
      </c>
      <c r="AQ451" s="98">
        <f t="shared" si="553"/>
        <v>1</v>
      </c>
      <c r="AR451" s="98">
        <f t="shared" si="553"/>
        <v>1</v>
      </c>
      <c r="AS451" s="98">
        <f t="shared" si="553"/>
        <v>1</v>
      </c>
      <c r="AT451" s="98">
        <f t="shared" si="553"/>
        <v>1</v>
      </c>
      <c r="AU451" s="98">
        <f t="shared" si="553"/>
        <v>1</v>
      </c>
      <c r="AV451" s="98">
        <f t="shared" si="553"/>
        <v>1</v>
      </c>
      <c r="AW451" s="98">
        <f t="shared" si="553"/>
        <v>1</v>
      </c>
      <c r="AX451" s="191"/>
      <c r="AY451" s="195" t="s">
        <v>7</v>
      </c>
      <c r="AZ451" s="178">
        <f t="shared" si="532"/>
        <v>1.8000000000000002E-2</v>
      </c>
      <c r="BA451" s="178">
        <f t="shared" si="533"/>
        <v>0.02</v>
      </c>
      <c r="BB451" s="178">
        <f t="shared" si="534"/>
        <v>1.6E-2</v>
      </c>
      <c r="BC451" s="178">
        <f t="shared" si="535"/>
        <v>1.6E-2</v>
      </c>
      <c r="BD451" s="178">
        <f t="shared" si="536"/>
        <v>0.02</v>
      </c>
      <c r="BE451" s="178">
        <f t="shared" si="537"/>
        <v>0.02</v>
      </c>
      <c r="BF451" s="178">
        <f t="shared" si="538"/>
        <v>2.2000000000000002E-2</v>
      </c>
      <c r="BG451" s="178">
        <f t="shared" si="539"/>
        <v>1.6E-2</v>
      </c>
      <c r="BH451" s="178">
        <f t="shared" si="540"/>
        <v>1.8000000000000002E-2</v>
      </c>
      <c r="BI451" s="191"/>
      <c r="BJ451" s="191"/>
      <c r="BK451" s="191"/>
      <c r="BL451" s="191"/>
      <c r="BM451" s="191"/>
      <c r="BN451" s="191"/>
      <c r="BO451" s="191"/>
      <c r="BP451" s="191"/>
    </row>
    <row r="452" spans="2:68" s="108" customFormat="1" x14ac:dyDescent="0.25">
      <c r="B452" s="107"/>
      <c r="E452" s="109" t="s">
        <v>2</v>
      </c>
      <c r="F452" s="110" t="s">
        <v>75</v>
      </c>
      <c r="G452" s="111" t="s">
        <v>54</v>
      </c>
      <c r="H452" s="112">
        <v>244198</v>
      </c>
      <c r="I452" s="112">
        <v>192038</v>
      </c>
      <c r="J452" s="112">
        <v>209552</v>
      </c>
      <c r="K452" s="112">
        <v>200350</v>
      </c>
      <c r="L452" s="112">
        <v>199728</v>
      </c>
      <c r="M452" s="112">
        <v>201781</v>
      </c>
      <c r="N452" s="112">
        <v>201348</v>
      </c>
      <c r="O452" s="112">
        <v>212461</v>
      </c>
      <c r="P452" s="112">
        <v>194119</v>
      </c>
      <c r="R452" s="111" t="s">
        <v>54</v>
      </c>
      <c r="S452" s="220">
        <v>3.8</v>
      </c>
      <c r="T452" s="220">
        <v>5.2</v>
      </c>
      <c r="U452" s="220">
        <v>4.9000000000000004</v>
      </c>
      <c r="V452" s="220">
        <v>4.5999999999999996</v>
      </c>
      <c r="W452" s="220">
        <v>5.2</v>
      </c>
      <c r="X452" s="220">
        <v>5.4</v>
      </c>
      <c r="Y452" s="220">
        <v>5.4</v>
      </c>
      <c r="Z452" s="220">
        <v>5</v>
      </c>
      <c r="AA452" s="220">
        <v>6.1</v>
      </c>
      <c r="AC452" s="111" t="s">
        <v>54</v>
      </c>
      <c r="AD452" s="112">
        <f t="shared" si="544"/>
        <v>18559.047999999999</v>
      </c>
      <c r="AE452" s="112">
        <f t="shared" si="525"/>
        <v>19971.952000000001</v>
      </c>
      <c r="AF452" s="112">
        <f t="shared" si="526"/>
        <v>20536.096000000001</v>
      </c>
      <c r="AG452" s="112">
        <f t="shared" si="527"/>
        <v>18432.199999999997</v>
      </c>
      <c r="AH452" s="112">
        <f t="shared" si="528"/>
        <v>20771.712000000003</v>
      </c>
      <c r="AI452" s="112">
        <f t="shared" si="529"/>
        <v>21792.348000000002</v>
      </c>
      <c r="AJ452" s="112">
        <f t="shared" si="530"/>
        <v>21745.584000000003</v>
      </c>
      <c r="AK452" s="112">
        <f t="shared" si="541"/>
        <v>21246.1</v>
      </c>
      <c r="AL452" s="112">
        <f t="shared" si="542"/>
        <v>23682.517999999996</v>
      </c>
      <c r="AN452" s="111" t="s">
        <v>54</v>
      </c>
      <c r="AO452" s="113">
        <f t="shared" ref="AO452:AW452" si="554">H452/H451</f>
        <v>0.32665831955524877</v>
      </c>
      <c r="AP452" s="113">
        <f t="shared" si="554"/>
        <v>0.25929146424781196</v>
      </c>
      <c r="AQ452" s="113">
        <f t="shared" si="554"/>
        <v>0.28594235904629478</v>
      </c>
      <c r="AR452" s="113">
        <f t="shared" si="554"/>
        <v>0.26026003920463181</v>
      </c>
      <c r="AS452" s="113">
        <f t="shared" si="554"/>
        <v>0.25006667092358947</v>
      </c>
      <c r="AT452" s="113">
        <f t="shared" si="554"/>
        <v>0.24153442668476549</v>
      </c>
      <c r="AU452" s="113">
        <f t="shared" si="554"/>
        <v>0.22091608396979229</v>
      </c>
      <c r="AV452" s="113">
        <f t="shared" si="554"/>
        <v>0.20764934927851816</v>
      </c>
      <c r="AW452" s="113">
        <f t="shared" si="554"/>
        <v>0.19341034449776021</v>
      </c>
      <c r="AY452" s="111" t="s">
        <v>54</v>
      </c>
      <c r="AZ452" s="179">
        <f t="shared" si="532"/>
        <v>2.4826032286198906E-2</v>
      </c>
      <c r="BA452" s="179">
        <f t="shared" si="533"/>
        <v>2.6966312281772445E-2</v>
      </c>
      <c r="BB452" s="179">
        <f t="shared" si="534"/>
        <v>2.8022351186536891E-2</v>
      </c>
      <c r="BC452" s="179">
        <f t="shared" si="535"/>
        <v>2.3943923606826126E-2</v>
      </c>
      <c r="BD452" s="179">
        <f t="shared" si="536"/>
        <v>2.6006933776053308E-2</v>
      </c>
      <c r="BE452" s="179">
        <f t="shared" si="537"/>
        <v>2.6085718081954673E-2</v>
      </c>
      <c r="BF452" s="179">
        <f t="shared" si="538"/>
        <v>2.3858937068737568E-2</v>
      </c>
      <c r="BG452" s="179">
        <f t="shared" si="539"/>
        <v>2.0764934927851818E-2</v>
      </c>
      <c r="BH452" s="179">
        <f t="shared" si="540"/>
        <v>2.3596062028726744E-2</v>
      </c>
    </row>
    <row r="453" spans="2:68" s="108" customFormat="1" x14ac:dyDescent="0.25">
      <c r="B453" s="107"/>
      <c r="E453" s="109" t="s">
        <v>2</v>
      </c>
      <c r="F453" s="110" t="s">
        <v>75</v>
      </c>
      <c r="G453" s="111" t="s">
        <v>55</v>
      </c>
      <c r="H453" s="70">
        <v>162012</v>
      </c>
      <c r="I453" s="70">
        <v>174436</v>
      </c>
      <c r="J453" s="70">
        <v>151411</v>
      </c>
      <c r="K453" s="70">
        <v>159193</v>
      </c>
      <c r="L453" s="70">
        <v>157388</v>
      </c>
      <c r="M453" s="112">
        <v>172270</v>
      </c>
      <c r="N453" s="112">
        <v>183038</v>
      </c>
      <c r="O453" s="112">
        <v>210324</v>
      </c>
      <c r="P453" s="112">
        <v>196142</v>
      </c>
      <c r="R453" s="111" t="s">
        <v>55</v>
      </c>
      <c r="S453" s="81">
        <v>4.7</v>
      </c>
      <c r="T453" s="81">
        <v>5.3</v>
      </c>
      <c r="U453" s="81">
        <v>5.3</v>
      </c>
      <c r="V453" s="81">
        <v>5.5</v>
      </c>
      <c r="W453" s="81">
        <v>6.2</v>
      </c>
      <c r="X453" s="81">
        <v>7</v>
      </c>
      <c r="Y453" s="81">
        <v>7</v>
      </c>
      <c r="Z453" s="81">
        <v>5</v>
      </c>
      <c r="AA453" s="81">
        <v>5.9</v>
      </c>
      <c r="AC453" s="111" t="s">
        <v>55</v>
      </c>
      <c r="AD453" s="70">
        <f t="shared" si="544"/>
        <v>15229.128000000001</v>
      </c>
      <c r="AE453" s="70">
        <f t="shared" si="525"/>
        <v>18490.216</v>
      </c>
      <c r="AF453" s="70">
        <f t="shared" si="526"/>
        <v>16049.565999999999</v>
      </c>
      <c r="AG453" s="70">
        <f t="shared" si="527"/>
        <v>17511.23</v>
      </c>
      <c r="AH453" s="70">
        <f t="shared" si="528"/>
        <v>19516.112000000001</v>
      </c>
      <c r="AI453" s="70">
        <f t="shared" si="529"/>
        <v>24117.8</v>
      </c>
      <c r="AJ453" s="70">
        <f t="shared" si="530"/>
        <v>25625.32</v>
      </c>
      <c r="AK453" s="70">
        <f t="shared" si="541"/>
        <v>21032.400000000001</v>
      </c>
      <c r="AL453" s="70">
        <f t="shared" si="542"/>
        <v>23144.756000000001</v>
      </c>
      <c r="AN453" s="111" t="s">
        <v>55</v>
      </c>
      <c r="AO453" s="113">
        <f t="shared" ref="AO453:AW453" si="555">H453/H451</f>
        <v>0.21671990625551793</v>
      </c>
      <c r="AP453" s="113">
        <f t="shared" si="555"/>
        <v>0.23552508283533119</v>
      </c>
      <c r="AQ453" s="113">
        <f t="shared" si="555"/>
        <v>0.20660656317075735</v>
      </c>
      <c r="AR453" s="113">
        <f t="shared" si="555"/>
        <v>0.2067959891245468</v>
      </c>
      <c r="AS453" s="113">
        <f t="shared" si="555"/>
        <v>0.19705546144417357</v>
      </c>
      <c r="AT453" s="113">
        <f t="shared" si="555"/>
        <v>0.2062093838616349</v>
      </c>
      <c r="AU453" s="113">
        <f t="shared" si="555"/>
        <v>0.20082661947306574</v>
      </c>
      <c r="AV453" s="113">
        <f t="shared" si="555"/>
        <v>0.20556074638477206</v>
      </c>
      <c r="AW453" s="113">
        <f t="shared" si="555"/>
        <v>0.19542595928517911</v>
      </c>
      <c r="AY453" s="111" t="s">
        <v>55</v>
      </c>
      <c r="AZ453" s="179">
        <f t="shared" si="532"/>
        <v>2.0371671188018685E-2</v>
      </c>
      <c r="BA453" s="179">
        <f t="shared" si="533"/>
        <v>2.4965658780545102E-2</v>
      </c>
      <c r="BB453" s="179">
        <f t="shared" si="534"/>
        <v>2.1900295696100275E-2</v>
      </c>
      <c r="BC453" s="179">
        <f t="shared" si="535"/>
        <v>2.2747558803700149E-2</v>
      </c>
      <c r="BD453" s="179">
        <f t="shared" si="536"/>
        <v>2.4434877219077524E-2</v>
      </c>
      <c r="BE453" s="179">
        <f t="shared" si="537"/>
        <v>2.8869313740628889E-2</v>
      </c>
      <c r="BF453" s="179">
        <f t="shared" si="538"/>
        <v>2.8115726726229206E-2</v>
      </c>
      <c r="BG453" s="179">
        <f t="shared" si="539"/>
        <v>2.0556074638477206E-2</v>
      </c>
      <c r="BH453" s="179">
        <f t="shared" si="540"/>
        <v>2.3060263195651135E-2</v>
      </c>
    </row>
    <row r="454" spans="2:68" s="108" customFormat="1" x14ac:dyDescent="0.25">
      <c r="B454" s="107"/>
      <c r="E454" s="109" t="s">
        <v>2</v>
      </c>
      <c r="F454" s="110" t="s">
        <v>75</v>
      </c>
      <c r="G454" s="111" t="s">
        <v>130</v>
      </c>
      <c r="H454" s="70">
        <v>102880</v>
      </c>
      <c r="I454" s="70">
        <v>122693</v>
      </c>
      <c r="J454" s="70">
        <v>105036</v>
      </c>
      <c r="K454" s="70">
        <v>105315</v>
      </c>
      <c r="L454" s="70">
        <v>95249</v>
      </c>
      <c r="M454" s="70">
        <v>118658</v>
      </c>
      <c r="N454" s="70">
        <v>112100</v>
      </c>
      <c r="O454" s="112">
        <v>144900</v>
      </c>
      <c r="P454" s="112">
        <v>143017</v>
      </c>
      <c r="R454" s="111" t="s">
        <v>130</v>
      </c>
      <c r="S454" s="220">
        <v>6.1</v>
      </c>
      <c r="T454" s="220">
        <v>6.7</v>
      </c>
      <c r="U454" s="220">
        <v>6.9</v>
      </c>
      <c r="V454" s="220">
        <v>7.2</v>
      </c>
      <c r="W454" s="220">
        <v>8.1</v>
      </c>
      <c r="X454" s="220">
        <v>8.8000000000000007</v>
      </c>
      <c r="Y454" s="220">
        <v>9.1</v>
      </c>
      <c r="Z454" s="220">
        <v>6.7</v>
      </c>
      <c r="AA454" s="220">
        <v>6.8</v>
      </c>
      <c r="AC454" s="111" t="s">
        <v>130</v>
      </c>
      <c r="AD454" s="70">
        <f t="shared" si="544"/>
        <v>12551.36</v>
      </c>
      <c r="AE454" s="70">
        <f t="shared" si="525"/>
        <v>16440.862000000001</v>
      </c>
      <c r="AF454" s="70">
        <f t="shared" si="526"/>
        <v>14494.968000000001</v>
      </c>
      <c r="AG454" s="70">
        <f t="shared" si="527"/>
        <v>15165.36</v>
      </c>
      <c r="AH454" s="70">
        <f t="shared" si="528"/>
        <v>15430.338</v>
      </c>
      <c r="AI454" s="70">
        <f t="shared" si="529"/>
        <v>20883.808000000005</v>
      </c>
      <c r="AJ454" s="70">
        <f t="shared" si="530"/>
        <v>20402.2</v>
      </c>
      <c r="AK454" s="70">
        <f t="shared" si="541"/>
        <v>19416.599999999999</v>
      </c>
      <c r="AL454" s="70">
        <f t="shared" si="542"/>
        <v>19450.311999999998</v>
      </c>
      <c r="AN454" s="111" t="s">
        <v>130</v>
      </c>
      <c r="AO454" s="113">
        <f t="shared" ref="AO454:AW454" si="556">H454/H451</f>
        <v>0.13762032414616007</v>
      </c>
      <c r="AP454" s="113">
        <f t="shared" si="556"/>
        <v>0.16566121092157174</v>
      </c>
      <c r="AQ454" s="113">
        <f t="shared" si="556"/>
        <v>0.14332596026182817</v>
      </c>
      <c r="AR454" s="113">
        <f t="shared" si="556"/>
        <v>0.13680701786291888</v>
      </c>
      <c r="AS454" s="113">
        <f t="shared" si="556"/>
        <v>0.11925518875070583</v>
      </c>
      <c r="AT454" s="113">
        <f t="shared" si="556"/>
        <v>0.14203513711182372</v>
      </c>
      <c r="AU454" s="113">
        <f t="shared" si="556"/>
        <v>0.12299448225467209</v>
      </c>
      <c r="AV454" s="113">
        <f t="shared" si="556"/>
        <v>0.14161841801769398</v>
      </c>
      <c r="AW454" s="113">
        <f t="shared" si="556"/>
        <v>0.14249489869119547</v>
      </c>
      <c r="AY454" s="111" t="s">
        <v>130</v>
      </c>
      <c r="AZ454" s="179">
        <f t="shared" si="532"/>
        <v>1.6789679545831528E-2</v>
      </c>
      <c r="BA454" s="179">
        <f t="shared" si="533"/>
        <v>2.2198602263490616E-2</v>
      </c>
      <c r="BB454" s="179">
        <f t="shared" si="534"/>
        <v>1.977898251613229E-2</v>
      </c>
      <c r="BC454" s="179">
        <f t="shared" si="535"/>
        <v>1.9700210572260318E-2</v>
      </c>
      <c r="BD454" s="179">
        <f t="shared" si="536"/>
        <v>1.9319340577614343E-2</v>
      </c>
      <c r="BE454" s="179">
        <f t="shared" si="537"/>
        <v>2.4998184131680978E-2</v>
      </c>
      <c r="BF454" s="179">
        <f t="shared" si="538"/>
        <v>2.2384995770350316E-2</v>
      </c>
      <c r="BG454" s="179">
        <f t="shared" si="539"/>
        <v>1.8976868014370995E-2</v>
      </c>
      <c r="BH454" s="179">
        <f t="shared" si="540"/>
        <v>1.9379306222002582E-2</v>
      </c>
    </row>
    <row r="455" spans="2:68" s="108" customFormat="1" x14ac:dyDescent="0.25">
      <c r="B455" s="107"/>
      <c r="E455" s="109" t="s">
        <v>2</v>
      </c>
      <c r="F455" s="110" t="s">
        <v>75</v>
      </c>
      <c r="G455" s="111" t="s">
        <v>131</v>
      </c>
      <c r="H455" s="112">
        <v>238267</v>
      </c>
      <c r="I455" s="112">
        <v>251234</v>
      </c>
      <c r="J455" s="112">
        <v>266515</v>
      </c>
      <c r="K455" s="112">
        <v>304787</v>
      </c>
      <c r="L455" s="112">
        <v>346334</v>
      </c>
      <c r="M455" s="112">
        <v>342703</v>
      </c>
      <c r="N455" s="112">
        <v>414937</v>
      </c>
      <c r="O455" s="112">
        <v>455487</v>
      </c>
      <c r="P455" s="112">
        <v>470386</v>
      </c>
      <c r="R455" s="111" t="s">
        <v>131</v>
      </c>
      <c r="S455" s="220">
        <v>3.8</v>
      </c>
      <c r="T455" s="220">
        <v>3.9</v>
      </c>
      <c r="U455" s="220">
        <v>4.3</v>
      </c>
      <c r="V455" s="220">
        <v>3.5</v>
      </c>
      <c r="W455" s="220">
        <v>3.8</v>
      </c>
      <c r="X455" s="220">
        <v>4.3</v>
      </c>
      <c r="Y455" s="220">
        <v>3.7</v>
      </c>
      <c r="Z455" s="220">
        <v>2.9</v>
      </c>
      <c r="AA455" s="220">
        <v>2.8</v>
      </c>
      <c r="AC455" s="111" t="s">
        <v>131</v>
      </c>
      <c r="AD455" s="112">
        <f t="shared" si="544"/>
        <v>18108.292000000001</v>
      </c>
      <c r="AE455" s="112">
        <f t="shared" si="525"/>
        <v>19596.252</v>
      </c>
      <c r="AF455" s="112">
        <f t="shared" si="526"/>
        <v>22920.29</v>
      </c>
      <c r="AG455" s="112">
        <f t="shared" si="527"/>
        <v>21335.09</v>
      </c>
      <c r="AH455" s="112">
        <f t="shared" si="528"/>
        <v>26321.383999999998</v>
      </c>
      <c r="AI455" s="112">
        <f t="shared" si="529"/>
        <v>29472.457999999999</v>
      </c>
      <c r="AJ455" s="112">
        <f t="shared" si="530"/>
        <v>30705.338000000003</v>
      </c>
      <c r="AK455" s="112">
        <f t="shared" si="541"/>
        <v>26418.245999999999</v>
      </c>
      <c r="AL455" s="112">
        <f t="shared" si="542"/>
        <v>26341.615999999995</v>
      </c>
      <c r="AN455" s="111" t="s">
        <v>131</v>
      </c>
      <c r="AO455" s="113">
        <f t="shared" ref="AO455:AW455" si="557">H455/H451</f>
        <v>0.31872455067392225</v>
      </c>
      <c r="AP455" s="113">
        <f t="shared" si="557"/>
        <v>0.33921844493712078</v>
      </c>
      <c r="AQ455" s="113">
        <f t="shared" si="557"/>
        <v>0.36367072526734773</v>
      </c>
      <c r="AR455" s="113">
        <f t="shared" si="557"/>
        <v>0.39592651145027258</v>
      </c>
      <c r="AS455" s="113">
        <f t="shared" si="557"/>
        <v>0.43362267888153111</v>
      </c>
      <c r="AT455" s="113">
        <f t="shared" si="557"/>
        <v>0.41021985532904087</v>
      </c>
      <c r="AU455" s="113">
        <f t="shared" si="557"/>
        <v>0.4552628143024699</v>
      </c>
      <c r="AV455" s="113">
        <f t="shared" si="557"/>
        <v>0.44517148631901576</v>
      </c>
      <c r="AW455" s="113">
        <f t="shared" si="557"/>
        <v>0.46866879752586521</v>
      </c>
      <c r="AY455" s="111" t="s">
        <v>131</v>
      </c>
      <c r="AZ455" s="179">
        <f t="shared" si="532"/>
        <v>2.4223065851218091E-2</v>
      </c>
      <c r="BA455" s="179">
        <f t="shared" si="533"/>
        <v>2.645903870509542E-2</v>
      </c>
      <c r="BB455" s="179">
        <f t="shared" si="534"/>
        <v>3.12756823729919E-2</v>
      </c>
      <c r="BC455" s="179">
        <f t="shared" si="535"/>
        <v>2.771485580151908E-2</v>
      </c>
      <c r="BD455" s="179">
        <f t="shared" si="536"/>
        <v>3.2955323594996366E-2</v>
      </c>
      <c r="BE455" s="179">
        <f t="shared" si="537"/>
        <v>3.5278907558297518E-2</v>
      </c>
      <c r="BF455" s="179">
        <f t="shared" si="538"/>
        <v>3.368944825838277E-2</v>
      </c>
      <c r="BG455" s="179">
        <f t="shared" si="539"/>
        <v>2.5819946206502915E-2</v>
      </c>
      <c r="BH455" s="179">
        <f t="shared" si="540"/>
        <v>2.6245452661448451E-2</v>
      </c>
    </row>
    <row r="456" spans="2:68" s="87" customFormat="1" x14ac:dyDescent="0.25">
      <c r="B456" s="84"/>
      <c r="C456" s="85"/>
      <c r="D456" s="85"/>
      <c r="E456" s="109" t="s">
        <v>3</v>
      </c>
      <c r="F456" s="110" t="s">
        <v>75</v>
      </c>
      <c r="G456" s="195" t="s">
        <v>7</v>
      </c>
      <c r="H456" s="69">
        <v>649487</v>
      </c>
      <c r="I456" s="69">
        <v>717942</v>
      </c>
      <c r="J456" s="69">
        <v>782412</v>
      </c>
      <c r="K456" s="69">
        <v>864855</v>
      </c>
      <c r="L456" s="69">
        <v>928904</v>
      </c>
      <c r="M456" s="69">
        <v>977493</v>
      </c>
      <c r="N456" s="69">
        <v>1024282</v>
      </c>
      <c r="O456" s="69">
        <v>1059850</v>
      </c>
      <c r="P456" s="69">
        <v>1098494</v>
      </c>
      <c r="R456" s="195" t="s">
        <v>7</v>
      </c>
      <c r="S456" s="226">
        <v>0.9</v>
      </c>
      <c r="T456" s="226">
        <v>1</v>
      </c>
      <c r="U456" s="226">
        <v>0.8</v>
      </c>
      <c r="V456" s="226">
        <v>0.8</v>
      </c>
      <c r="W456" s="226">
        <v>1</v>
      </c>
      <c r="X456" s="226">
        <v>1.1000000000000001</v>
      </c>
      <c r="Y456" s="226">
        <v>1</v>
      </c>
      <c r="Z456" s="226">
        <v>0.8</v>
      </c>
      <c r="AA456" s="226">
        <v>0.9</v>
      </c>
      <c r="AC456" s="195" t="s">
        <v>7</v>
      </c>
      <c r="AD456" s="69">
        <f t="shared" si="544"/>
        <v>11690.766000000001</v>
      </c>
      <c r="AE456" s="69">
        <f t="shared" si="525"/>
        <v>14358.84</v>
      </c>
      <c r="AF456" s="69">
        <f t="shared" si="526"/>
        <v>12518.591999999999</v>
      </c>
      <c r="AG456" s="69">
        <f t="shared" si="527"/>
        <v>13837.68</v>
      </c>
      <c r="AH456" s="69">
        <f t="shared" si="528"/>
        <v>18578.080000000002</v>
      </c>
      <c r="AI456" s="69">
        <f t="shared" si="529"/>
        <v>21504.846000000001</v>
      </c>
      <c r="AJ456" s="69">
        <f t="shared" si="530"/>
        <v>20485.64</v>
      </c>
      <c r="AK456" s="69">
        <f t="shared" si="541"/>
        <v>16957.599999999999</v>
      </c>
      <c r="AL456" s="69">
        <f t="shared" si="542"/>
        <v>19772.892</v>
      </c>
      <c r="AN456" s="195" t="s">
        <v>7</v>
      </c>
      <c r="AO456" s="98">
        <f t="shared" ref="AO456:AW456" si="558">H456/H456</f>
        <v>1</v>
      </c>
      <c r="AP456" s="98">
        <f t="shared" si="558"/>
        <v>1</v>
      </c>
      <c r="AQ456" s="98">
        <f t="shared" si="558"/>
        <v>1</v>
      </c>
      <c r="AR456" s="98">
        <f t="shared" si="558"/>
        <v>1</v>
      </c>
      <c r="AS456" s="98">
        <f t="shared" si="558"/>
        <v>1</v>
      </c>
      <c r="AT456" s="98">
        <f t="shared" si="558"/>
        <v>1</v>
      </c>
      <c r="AU456" s="98">
        <f t="shared" si="558"/>
        <v>1</v>
      </c>
      <c r="AV456" s="98">
        <f t="shared" si="558"/>
        <v>1</v>
      </c>
      <c r="AW456" s="98">
        <f t="shared" si="558"/>
        <v>1</v>
      </c>
      <c r="AX456" s="191"/>
      <c r="AY456" s="195" t="s">
        <v>7</v>
      </c>
      <c r="AZ456" s="178">
        <f t="shared" si="532"/>
        <v>1.8000000000000002E-2</v>
      </c>
      <c r="BA456" s="178">
        <f t="shared" si="533"/>
        <v>0.02</v>
      </c>
      <c r="BB456" s="178">
        <f t="shared" si="534"/>
        <v>1.6E-2</v>
      </c>
      <c r="BC456" s="178">
        <f t="shared" si="535"/>
        <v>1.6E-2</v>
      </c>
      <c r="BD456" s="178">
        <f t="shared" si="536"/>
        <v>0.02</v>
      </c>
      <c r="BE456" s="178">
        <f t="shared" si="537"/>
        <v>2.2000000000000002E-2</v>
      </c>
      <c r="BF456" s="178">
        <f t="shared" si="538"/>
        <v>0.02</v>
      </c>
      <c r="BG456" s="178">
        <f t="shared" si="539"/>
        <v>1.6E-2</v>
      </c>
      <c r="BH456" s="178">
        <f t="shared" si="540"/>
        <v>1.8000000000000002E-2</v>
      </c>
      <c r="BI456" s="191"/>
      <c r="BJ456" s="191"/>
      <c r="BK456" s="191"/>
      <c r="BL456" s="191"/>
      <c r="BM456" s="191"/>
      <c r="BN456" s="191"/>
      <c r="BO456" s="191"/>
      <c r="BP456" s="191"/>
    </row>
    <row r="457" spans="2:68" s="108" customFormat="1" x14ac:dyDescent="0.25">
      <c r="B457" s="107"/>
      <c r="E457" s="109" t="s">
        <v>3</v>
      </c>
      <c r="F457" s="110" t="s">
        <v>75</v>
      </c>
      <c r="G457" s="111" t="s">
        <v>54</v>
      </c>
      <c r="H457" s="112">
        <v>179188</v>
      </c>
      <c r="I457" s="112">
        <v>163166</v>
      </c>
      <c r="J457" s="112">
        <v>178980</v>
      </c>
      <c r="K457" s="112">
        <v>196089</v>
      </c>
      <c r="L457" s="112">
        <v>233723</v>
      </c>
      <c r="M457" s="112">
        <v>229700</v>
      </c>
      <c r="N457" s="112">
        <v>210986</v>
      </c>
      <c r="O457" s="112">
        <v>223567</v>
      </c>
      <c r="P457" s="112">
        <v>196690</v>
      </c>
      <c r="R457" s="111" t="s">
        <v>54</v>
      </c>
      <c r="S457" s="220">
        <v>4.5</v>
      </c>
      <c r="T457" s="220">
        <v>5.3</v>
      </c>
      <c r="U457" s="220">
        <v>5.0999999999999996</v>
      </c>
      <c r="V457" s="220">
        <v>5.3</v>
      </c>
      <c r="W457" s="220">
        <v>4.7</v>
      </c>
      <c r="X457" s="220">
        <v>5.4</v>
      </c>
      <c r="Y457" s="220">
        <v>5.4</v>
      </c>
      <c r="Z457" s="220">
        <v>5</v>
      </c>
      <c r="AA457" s="220">
        <v>6.1</v>
      </c>
      <c r="AC457" s="111" t="s">
        <v>54</v>
      </c>
      <c r="AD457" s="112">
        <f t="shared" si="544"/>
        <v>16126.92</v>
      </c>
      <c r="AE457" s="112">
        <f t="shared" si="525"/>
        <v>17295.595999999998</v>
      </c>
      <c r="AF457" s="112">
        <f t="shared" si="526"/>
        <v>18255.96</v>
      </c>
      <c r="AG457" s="112">
        <f t="shared" si="527"/>
        <v>20785.433999999997</v>
      </c>
      <c r="AH457" s="112">
        <f t="shared" si="528"/>
        <v>21969.962000000003</v>
      </c>
      <c r="AI457" s="112">
        <f t="shared" si="529"/>
        <v>24807.599999999999</v>
      </c>
      <c r="AJ457" s="112">
        <f t="shared" si="530"/>
        <v>22786.488000000001</v>
      </c>
      <c r="AK457" s="112">
        <f t="shared" si="541"/>
        <v>22356.7</v>
      </c>
      <c r="AL457" s="112">
        <f t="shared" si="542"/>
        <v>23996.18</v>
      </c>
      <c r="AN457" s="111" t="s">
        <v>54</v>
      </c>
      <c r="AO457" s="113">
        <f t="shared" ref="AO457:AW457" si="559">H457/H456</f>
        <v>0.27589158828429206</v>
      </c>
      <c r="AP457" s="113">
        <f t="shared" si="559"/>
        <v>0.22726905516044471</v>
      </c>
      <c r="AQ457" s="113">
        <f t="shared" si="559"/>
        <v>0.22875416021226669</v>
      </c>
      <c r="AR457" s="113">
        <f t="shared" si="559"/>
        <v>0.22673049239467888</v>
      </c>
      <c r="AS457" s="113">
        <f t="shared" si="559"/>
        <v>0.25161157665377692</v>
      </c>
      <c r="AT457" s="113">
        <f t="shared" si="559"/>
        <v>0.2349888950611411</v>
      </c>
      <c r="AU457" s="113">
        <f t="shared" si="559"/>
        <v>0.20598428948277916</v>
      </c>
      <c r="AV457" s="113">
        <f t="shared" si="559"/>
        <v>0.21094211445015804</v>
      </c>
      <c r="AW457" s="113">
        <f t="shared" si="559"/>
        <v>0.17905423243094637</v>
      </c>
      <c r="AY457" s="111" t="s">
        <v>54</v>
      </c>
      <c r="AZ457" s="179">
        <f t="shared" si="532"/>
        <v>2.4830242945586285E-2</v>
      </c>
      <c r="BA457" s="179">
        <f t="shared" si="533"/>
        <v>2.4090519847007136E-2</v>
      </c>
      <c r="BB457" s="179">
        <f t="shared" si="534"/>
        <v>2.3332924341651198E-2</v>
      </c>
      <c r="BC457" s="179">
        <f t="shared" si="535"/>
        <v>2.4033432193835962E-2</v>
      </c>
      <c r="BD457" s="179">
        <f t="shared" si="536"/>
        <v>2.365148820545503E-2</v>
      </c>
      <c r="BE457" s="179">
        <f t="shared" si="537"/>
        <v>2.5378800666603238E-2</v>
      </c>
      <c r="BF457" s="179">
        <f t="shared" si="538"/>
        <v>2.2246303264140153E-2</v>
      </c>
      <c r="BG457" s="179">
        <f t="shared" si="539"/>
        <v>2.1094211445015804E-2</v>
      </c>
      <c r="BH457" s="179">
        <f t="shared" si="540"/>
        <v>2.1844616356575454E-2</v>
      </c>
    </row>
    <row r="458" spans="2:68" s="108" customFormat="1" x14ac:dyDescent="0.25">
      <c r="B458" s="107"/>
      <c r="E458" s="109" t="s">
        <v>3</v>
      </c>
      <c r="F458" s="110" t="s">
        <v>75</v>
      </c>
      <c r="G458" s="111" t="s">
        <v>55</v>
      </c>
      <c r="H458" s="70">
        <v>216838</v>
      </c>
      <c r="I458" s="70">
        <v>257173</v>
      </c>
      <c r="J458" s="70">
        <v>276969</v>
      </c>
      <c r="K458" s="70">
        <v>287314</v>
      </c>
      <c r="L458" s="70">
        <v>296906</v>
      </c>
      <c r="M458" s="112">
        <v>286892</v>
      </c>
      <c r="N458" s="112">
        <v>336007</v>
      </c>
      <c r="O458" s="112">
        <v>330479</v>
      </c>
      <c r="P458" s="112">
        <v>325977</v>
      </c>
      <c r="R458" s="111" t="s">
        <v>55</v>
      </c>
      <c r="S458" s="81">
        <v>4.3</v>
      </c>
      <c r="T458" s="81">
        <v>3.7</v>
      </c>
      <c r="U458" s="81">
        <v>3.7</v>
      </c>
      <c r="V458" s="81">
        <v>4</v>
      </c>
      <c r="W458" s="81">
        <v>4.7</v>
      </c>
      <c r="X458" s="81">
        <v>5.7</v>
      </c>
      <c r="Y458" s="81">
        <v>4.5999999999999996</v>
      </c>
      <c r="Z458" s="81">
        <v>3.5</v>
      </c>
      <c r="AA458" s="81">
        <v>3.9</v>
      </c>
      <c r="AC458" s="111" t="s">
        <v>55</v>
      </c>
      <c r="AD458" s="70">
        <f t="shared" si="544"/>
        <v>18648.067999999999</v>
      </c>
      <c r="AE458" s="70">
        <f t="shared" si="525"/>
        <v>19030.802000000003</v>
      </c>
      <c r="AF458" s="70">
        <f t="shared" si="526"/>
        <v>20495.706000000002</v>
      </c>
      <c r="AG458" s="70">
        <f t="shared" si="527"/>
        <v>22985.119999999999</v>
      </c>
      <c r="AH458" s="70">
        <f t="shared" si="528"/>
        <v>27909.164000000001</v>
      </c>
      <c r="AI458" s="70">
        <f t="shared" si="529"/>
        <v>32705.688000000002</v>
      </c>
      <c r="AJ458" s="70">
        <f t="shared" si="530"/>
        <v>30912.644</v>
      </c>
      <c r="AK458" s="70">
        <f t="shared" si="541"/>
        <v>23133.53</v>
      </c>
      <c r="AL458" s="70">
        <f t="shared" si="542"/>
        <v>25426.206000000002</v>
      </c>
      <c r="AN458" s="111" t="s">
        <v>55</v>
      </c>
      <c r="AO458" s="113">
        <f t="shared" ref="AO458:AW458" si="560">H458/H456</f>
        <v>0.33386041598985045</v>
      </c>
      <c r="AP458" s="113">
        <f t="shared" si="560"/>
        <v>0.35820860180905978</v>
      </c>
      <c r="AQ458" s="113">
        <f t="shared" si="560"/>
        <v>0.35399380377601569</v>
      </c>
      <c r="AR458" s="113">
        <f t="shared" si="560"/>
        <v>0.33221060177717654</v>
      </c>
      <c r="AS458" s="113">
        <f t="shared" si="560"/>
        <v>0.31963044620326753</v>
      </c>
      <c r="AT458" s="113">
        <f t="shared" si="560"/>
        <v>0.29349775394811012</v>
      </c>
      <c r="AU458" s="113">
        <f t="shared" si="560"/>
        <v>0.32804149638478464</v>
      </c>
      <c r="AV458" s="113">
        <f t="shared" si="560"/>
        <v>0.31181676652356466</v>
      </c>
      <c r="AW458" s="113">
        <f t="shared" si="560"/>
        <v>0.29674900363588697</v>
      </c>
      <c r="AY458" s="111" t="s">
        <v>55</v>
      </c>
      <c r="AZ458" s="179">
        <f t="shared" si="532"/>
        <v>2.871199577512714E-2</v>
      </c>
      <c r="BA458" s="179">
        <f t="shared" si="533"/>
        <v>2.6507436533870426E-2</v>
      </c>
      <c r="BB458" s="179">
        <f t="shared" si="534"/>
        <v>2.6195541479425166E-2</v>
      </c>
      <c r="BC458" s="179">
        <f t="shared" si="535"/>
        <v>2.6576848142174123E-2</v>
      </c>
      <c r="BD458" s="179">
        <f t="shared" si="536"/>
        <v>3.0045261943107148E-2</v>
      </c>
      <c r="BE458" s="179">
        <f t="shared" si="537"/>
        <v>3.3458743950084552E-2</v>
      </c>
      <c r="BF458" s="179">
        <f t="shared" si="538"/>
        <v>3.0179817667400185E-2</v>
      </c>
      <c r="BG458" s="179">
        <f t="shared" si="539"/>
        <v>2.1827173656649528E-2</v>
      </c>
      <c r="BH458" s="179">
        <f t="shared" si="540"/>
        <v>2.3146422283599182E-2</v>
      </c>
    </row>
    <row r="459" spans="2:68" s="108" customFormat="1" x14ac:dyDescent="0.25">
      <c r="B459" s="107"/>
      <c r="E459" s="109" t="s">
        <v>3</v>
      </c>
      <c r="F459" s="110" t="s">
        <v>75</v>
      </c>
      <c r="G459" s="111" t="s">
        <v>130</v>
      </c>
      <c r="H459" s="70">
        <v>74245</v>
      </c>
      <c r="I459" s="70">
        <v>85909</v>
      </c>
      <c r="J459" s="70">
        <v>88874</v>
      </c>
      <c r="K459" s="70">
        <v>102623</v>
      </c>
      <c r="L459" s="70">
        <v>103668</v>
      </c>
      <c r="M459" s="70">
        <v>127186</v>
      </c>
      <c r="N459" s="70">
        <v>124639</v>
      </c>
      <c r="O459" s="112">
        <v>146032</v>
      </c>
      <c r="P459" s="112">
        <v>155344</v>
      </c>
      <c r="R459" s="111" t="s">
        <v>130</v>
      </c>
      <c r="S459" s="220">
        <v>7.3</v>
      </c>
      <c r="T459" s="220">
        <v>7.7</v>
      </c>
      <c r="U459" s="220">
        <v>7.2</v>
      </c>
      <c r="V459" s="220">
        <v>7.2</v>
      </c>
      <c r="W459" s="220">
        <v>8.1</v>
      </c>
      <c r="X459" s="220">
        <v>8.1</v>
      </c>
      <c r="Y459" s="220">
        <v>9.1</v>
      </c>
      <c r="Z459" s="220">
        <v>6.7</v>
      </c>
      <c r="AA459" s="220">
        <v>6.2</v>
      </c>
      <c r="AC459" s="111" t="s">
        <v>130</v>
      </c>
      <c r="AD459" s="70">
        <f t="shared" si="544"/>
        <v>10839.77</v>
      </c>
      <c r="AE459" s="70">
        <f t="shared" si="525"/>
        <v>13229.986000000001</v>
      </c>
      <c r="AF459" s="70">
        <f t="shared" si="526"/>
        <v>12797.856000000002</v>
      </c>
      <c r="AG459" s="70">
        <f t="shared" si="527"/>
        <v>14777.712</v>
      </c>
      <c r="AH459" s="70">
        <f t="shared" si="528"/>
        <v>16794.216</v>
      </c>
      <c r="AI459" s="70">
        <f t="shared" si="529"/>
        <v>20604.131999999998</v>
      </c>
      <c r="AJ459" s="70">
        <f t="shared" si="530"/>
        <v>22684.297999999999</v>
      </c>
      <c r="AK459" s="70">
        <f t="shared" si="541"/>
        <v>19568.288</v>
      </c>
      <c r="AL459" s="70">
        <f t="shared" si="542"/>
        <v>19262.656000000003</v>
      </c>
      <c r="AN459" s="111" t="s">
        <v>130</v>
      </c>
      <c r="AO459" s="113">
        <f t="shared" ref="AO459:AW459" si="561">H459/H456</f>
        <v>0.1143132964940022</v>
      </c>
      <c r="AP459" s="113">
        <f t="shared" si="561"/>
        <v>0.11966008396221421</v>
      </c>
      <c r="AQ459" s="113">
        <f t="shared" si="561"/>
        <v>0.11358977111802988</v>
      </c>
      <c r="AR459" s="113">
        <f t="shared" si="561"/>
        <v>0.11865919720646814</v>
      </c>
      <c r="AS459" s="113">
        <f t="shared" si="561"/>
        <v>0.11160249067718515</v>
      </c>
      <c r="AT459" s="113">
        <f t="shared" si="561"/>
        <v>0.13011448675335782</v>
      </c>
      <c r="AU459" s="113">
        <f t="shared" si="561"/>
        <v>0.12168426273233347</v>
      </c>
      <c r="AV459" s="113">
        <f t="shared" si="561"/>
        <v>0.13778553568901258</v>
      </c>
      <c r="AW459" s="113">
        <f t="shared" si="561"/>
        <v>0.14141542875973834</v>
      </c>
      <c r="AY459" s="111" t="s">
        <v>130</v>
      </c>
      <c r="AZ459" s="179">
        <f t="shared" si="532"/>
        <v>1.6689741288124321E-2</v>
      </c>
      <c r="BA459" s="179">
        <f t="shared" si="533"/>
        <v>1.842765293018099E-2</v>
      </c>
      <c r="BB459" s="179">
        <f t="shared" si="534"/>
        <v>1.6356927040996304E-2</v>
      </c>
      <c r="BC459" s="179">
        <f t="shared" si="535"/>
        <v>1.7086924397731414E-2</v>
      </c>
      <c r="BD459" s="179">
        <f t="shared" si="536"/>
        <v>1.8079603489703996E-2</v>
      </c>
      <c r="BE459" s="179">
        <f t="shared" si="537"/>
        <v>2.1078546854043964E-2</v>
      </c>
      <c r="BF459" s="179">
        <f t="shared" si="538"/>
        <v>2.2146535817284693E-2</v>
      </c>
      <c r="BG459" s="179">
        <f t="shared" si="539"/>
        <v>1.8463261782327687E-2</v>
      </c>
      <c r="BH459" s="179">
        <f t="shared" si="540"/>
        <v>1.7535513166207554E-2</v>
      </c>
    </row>
    <row r="460" spans="2:68" s="108" customFormat="1" x14ac:dyDescent="0.25">
      <c r="B460" s="107"/>
      <c r="E460" s="109" t="s">
        <v>3</v>
      </c>
      <c r="F460" s="110" t="s">
        <v>75</v>
      </c>
      <c r="G460" s="111" t="s">
        <v>131</v>
      </c>
      <c r="H460" s="112">
        <v>179066</v>
      </c>
      <c r="I460" s="112">
        <v>211574</v>
      </c>
      <c r="J460" s="112">
        <v>236874</v>
      </c>
      <c r="K460" s="112">
        <v>277817</v>
      </c>
      <c r="L460" s="112">
        <v>294607</v>
      </c>
      <c r="M460" s="112">
        <v>333715</v>
      </c>
      <c r="N460" s="112">
        <v>352649</v>
      </c>
      <c r="O460" s="112">
        <v>359772</v>
      </c>
      <c r="P460" s="112">
        <v>420483</v>
      </c>
      <c r="R460" s="111" t="s">
        <v>131</v>
      </c>
      <c r="S460" s="220">
        <v>4.5</v>
      </c>
      <c r="T460" s="220">
        <v>4.5</v>
      </c>
      <c r="U460" s="220">
        <v>4.4000000000000004</v>
      </c>
      <c r="V460" s="220">
        <v>4</v>
      </c>
      <c r="W460" s="220">
        <v>3.8</v>
      </c>
      <c r="X460" s="220">
        <v>4.5999999999999996</v>
      </c>
      <c r="Y460" s="220">
        <v>3.9</v>
      </c>
      <c r="Z460" s="220">
        <v>3.4</v>
      </c>
      <c r="AA460" s="220">
        <v>3.2</v>
      </c>
      <c r="AC460" s="111" t="s">
        <v>131</v>
      </c>
      <c r="AD460" s="112">
        <f t="shared" si="544"/>
        <v>16115.94</v>
      </c>
      <c r="AE460" s="112">
        <f t="shared" si="525"/>
        <v>19041.66</v>
      </c>
      <c r="AF460" s="112">
        <f t="shared" si="526"/>
        <v>20844.912</v>
      </c>
      <c r="AG460" s="112">
        <f t="shared" si="527"/>
        <v>22225.360000000001</v>
      </c>
      <c r="AH460" s="112">
        <f t="shared" si="528"/>
        <v>22390.131999999998</v>
      </c>
      <c r="AI460" s="112">
        <f t="shared" si="529"/>
        <v>30701.779999999995</v>
      </c>
      <c r="AJ460" s="112">
        <f t="shared" si="530"/>
        <v>27506.621999999996</v>
      </c>
      <c r="AK460" s="112">
        <f t="shared" si="541"/>
        <v>24464.495999999999</v>
      </c>
      <c r="AL460" s="112">
        <f t="shared" si="542"/>
        <v>26910.912</v>
      </c>
      <c r="AN460" s="111" t="s">
        <v>131</v>
      </c>
      <c r="AO460" s="113">
        <f t="shared" ref="AO460:AW460" si="562">H460/H456</f>
        <v>0.27570374772705225</v>
      </c>
      <c r="AP460" s="113">
        <f t="shared" si="562"/>
        <v>0.29469511464714421</v>
      </c>
      <c r="AQ460" s="113">
        <f t="shared" si="562"/>
        <v>0.30274842410392477</v>
      </c>
      <c r="AR460" s="113">
        <f t="shared" si="562"/>
        <v>0.32122957027478594</v>
      </c>
      <c r="AS460" s="113">
        <f t="shared" si="562"/>
        <v>0.31715548646577041</v>
      </c>
      <c r="AT460" s="113">
        <f t="shared" si="562"/>
        <v>0.34139886423739096</v>
      </c>
      <c r="AU460" s="113">
        <f t="shared" si="562"/>
        <v>0.34428897510646483</v>
      </c>
      <c r="AV460" s="113">
        <f t="shared" si="562"/>
        <v>0.33945558333726472</v>
      </c>
      <c r="AW460" s="113">
        <f t="shared" si="562"/>
        <v>0.38278133517342833</v>
      </c>
      <c r="AY460" s="111" t="s">
        <v>131</v>
      </c>
      <c r="AZ460" s="179">
        <f t="shared" si="532"/>
        <v>2.4813337295434702E-2</v>
      </c>
      <c r="BA460" s="179">
        <f t="shared" si="533"/>
        <v>2.6522560318242978E-2</v>
      </c>
      <c r="BB460" s="179">
        <f t="shared" si="534"/>
        <v>2.6641861321145384E-2</v>
      </c>
      <c r="BC460" s="179">
        <f t="shared" si="535"/>
        <v>2.5698365621982876E-2</v>
      </c>
      <c r="BD460" s="179">
        <f t="shared" si="536"/>
        <v>2.4103816971398549E-2</v>
      </c>
      <c r="BE460" s="179">
        <f t="shared" si="537"/>
        <v>3.1408695509839962E-2</v>
      </c>
      <c r="BF460" s="179">
        <f t="shared" si="538"/>
        <v>2.6854540058304253E-2</v>
      </c>
      <c r="BG460" s="179">
        <f t="shared" si="539"/>
        <v>2.3082979666934001E-2</v>
      </c>
      <c r="BH460" s="179">
        <f t="shared" si="540"/>
        <v>2.4498005451099415E-2</v>
      </c>
    </row>
    <row r="461" spans="2:68" s="87" customFormat="1" x14ac:dyDescent="0.25">
      <c r="B461" s="84"/>
      <c r="C461" s="85"/>
      <c r="D461" s="85"/>
      <c r="E461" s="109" t="s">
        <v>45</v>
      </c>
      <c r="F461" s="110" t="s">
        <v>75</v>
      </c>
      <c r="G461" s="195" t="s">
        <v>7</v>
      </c>
      <c r="H461" s="69">
        <v>283189</v>
      </c>
      <c r="I461" s="69">
        <v>298373</v>
      </c>
      <c r="J461" s="69">
        <v>313431</v>
      </c>
      <c r="K461" s="69">
        <v>338796</v>
      </c>
      <c r="L461" s="69">
        <v>363010</v>
      </c>
      <c r="M461" s="69">
        <v>391756</v>
      </c>
      <c r="N461" s="69">
        <v>431116</v>
      </c>
      <c r="O461" s="69">
        <v>468955</v>
      </c>
      <c r="P461" s="69">
        <v>509838</v>
      </c>
      <c r="R461" s="195" t="s">
        <v>7</v>
      </c>
      <c r="S461" s="226">
        <v>1.3</v>
      </c>
      <c r="T461" s="226">
        <v>1.5</v>
      </c>
      <c r="U461" s="226">
        <v>1.3</v>
      </c>
      <c r="V461" s="226">
        <v>1.2</v>
      </c>
      <c r="W461" s="226">
        <v>1.4</v>
      </c>
      <c r="X461" s="226">
        <v>1.6</v>
      </c>
      <c r="Y461" s="226">
        <v>1.4</v>
      </c>
      <c r="Z461" s="226">
        <v>1.3</v>
      </c>
      <c r="AA461" s="226">
        <v>0.9</v>
      </c>
      <c r="AC461" s="195" t="s">
        <v>7</v>
      </c>
      <c r="AD461" s="69">
        <f t="shared" si="544"/>
        <v>7362.9140000000007</v>
      </c>
      <c r="AE461" s="69">
        <f t="shared" si="525"/>
        <v>8951.19</v>
      </c>
      <c r="AF461" s="69">
        <f t="shared" si="526"/>
        <v>8149.2060000000001</v>
      </c>
      <c r="AG461" s="69">
        <f t="shared" si="527"/>
        <v>8131.1040000000003</v>
      </c>
      <c r="AH461" s="69">
        <f t="shared" si="528"/>
        <v>10164.279999999999</v>
      </c>
      <c r="AI461" s="69">
        <f t="shared" si="529"/>
        <v>12536.191999999999</v>
      </c>
      <c r="AJ461" s="69">
        <f t="shared" si="530"/>
        <v>12071.247999999998</v>
      </c>
      <c r="AK461" s="69">
        <f t="shared" si="541"/>
        <v>12192.83</v>
      </c>
      <c r="AL461" s="69">
        <f t="shared" si="542"/>
        <v>9177.0840000000007</v>
      </c>
      <c r="AN461" s="195" t="s">
        <v>7</v>
      </c>
      <c r="AO461" s="98">
        <f t="shared" ref="AO461:AW461" si="563">H461/H461</f>
        <v>1</v>
      </c>
      <c r="AP461" s="98">
        <f t="shared" si="563"/>
        <v>1</v>
      </c>
      <c r="AQ461" s="98">
        <f t="shared" si="563"/>
        <v>1</v>
      </c>
      <c r="AR461" s="98">
        <f t="shared" si="563"/>
        <v>1</v>
      </c>
      <c r="AS461" s="98">
        <f t="shared" si="563"/>
        <v>1</v>
      </c>
      <c r="AT461" s="98">
        <f t="shared" si="563"/>
        <v>1</v>
      </c>
      <c r="AU461" s="98">
        <f t="shared" si="563"/>
        <v>1</v>
      </c>
      <c r="AV461" s="98">
        <f t="shared" si="563"/>
        <v>1</v>
      </c>
      <c r="AW461" s="98">
        <f t="shared" si="563"/>
        <v>1</v>
      </c>
      <c r="AX461" s="191"/>
      <c r="AY461" s="195" t="s">
        <v>7</v>
      </c>
      <c r="AZ461" s="178">
        <f t="shared" si="532"/>
        <v>2.6000000000000002E-2</v>
      </c>
      <c r="BA461" s="178">
        <f t="shared" si="533"/>
        <v>0.03</v>
      </c>
      <c r="BB461" s="178">
        <f t="shared" si="534"/>
        <v>2.6000000000000002E-2</v>
      </c>
      <c r="BC461" s="178">
        <f t="shared" si="535"/>
        <v>2.4E-2</v>
      </c>
      <c r="BD461" s="178">
        <f t="shared" si="536"/>
        <v>2.7999999999999997E-2</v>
      </c>
      <c r="BE461" s="178">
        <f t="shared" si="537"/>
        <v>3.2000000000000001E-2</v>
      </c>
      <c r="BF461" s="178">
        <f t="shared" si="538"/>
        <v>2.7999999999999997E-2</v>
      </c>
      <c r="BG461" s="178">
        <f t="shared" si="539"/>
        <v>2.6000000000000002E-2</v>
      </c>
      <c r="BH461" s="178">
        <f t="shared" si="540"/>
        <v>1.8000000000000002E-2</v>
      </c>
      <c r="BI461" s="191"/>
      <c r="BJ461" s="191"/>
      <c r="BK461" s="191"/>
      <c r="BL461" s="191"/>
      <c r="BM461" s="191"/>
      <c r="BN461" s="191"/>
      <c r="BO461" s="191"/>
      <c r="BP461" s="191"/>
    </row>
    <row r="462" spans="2:68" s="108" customFormat="1" x14ac:dyDescent="0.25">
      <c r="B462" s="107"/>
      <c r="E462" s="109" t="s">
        <v>45</v>
      </c>
      <c r="F462" s="110" t="s">
        <v>75</v>
      </c>
      <c r="G462" s="111" t="s">
        <v>54</v>
      </c>
      <c r="H462" s="112">
        <v>36773</v>
      </c>
      <c r="I462" s="112">
        <v>34874</v>
      </c>
      <c r="J462" s="112">
        <v>37852</v>
      </c>
      <c r="K462" s="112">
        <v>38794</v>
      </c>
      <c r="L462" s="112">
        <v>42396</v>
      </c>
      <c r="M462" s="112">
        <v>43178</v>
      </c>
      <c r="N462" s="112">
        <v>48482</v>
      </c>
      <c r="O462" s="112">
        <v>51607</v>
      </c>
      <c r="P462" s="112">
        <v>46213</v>
      </c>
      <c r="R462" s="111" t="s">
        <v>54</v>
      </c>
      <c r="S462" s="220">
        <v>10.3</v>
      </c>
      <c r="T462" s="220">
        <v>12.6</v>
      </c>
      <c r="U462" s="220">
        <v>12.5</v>
      </c>
      <c r="V462" s="220">
        <v>12.5</v>
      </c>
      <c r="W462" s="220">
        <v>13.1</v>
      </c>
      <c r="X462" s="220">
        <v>14.4</v>
      </c>
      <c r="Y462" s="220">
        <v>13.9</v>
      </c>
      <c r="Z462" s="220">
        <v>10.6</v>
      </c>
      <c r="AA462" s="220">
        <v>11.7</v>
      </c>
      <c r="AC462" s="111" t="s">
        <v>54</v>
      </c>
      <c r="AD462" s="112">
        <f t="shared" si="544"/>
        <v>7575.2380000000003</v>
      </c>
      <c r="AE462" s="112">
        <f t="shared" si="525"/>
        <v>8788.2479999999996</v>
      </c>
      <c r="AF462" s="112">
        <f t="shared" si="526"/>
        <v>9463</v>
      </c>
      <c r="AG462" s="112">
        <f t="shared" si="527"/>
        <v>9698.5</v>
      </c>
      <c r="AH462" s="112">
        <f t="shared" si="528"/>
        <v>11107.752</v>
      </c>
      <c r="AI462" s="112">
        <f t="shared" si="529"/>
        <v>12435.264000000001</v>
      </c>
      <c r="AJ462" s="112">
        <f t="shared" si="530"/>
        <v>13477.996000000001</v>
      </c>
      <c r="AK462" s="112">
        <f t="shared" si="541"/>
        <v>10940.683999999999</v>
      </c>
      <c r="AL462" s="112">
        <f t="shared" si="542"/>
        <v>10813.841999999999</v>
      </c>
      <c r="AN462" s="111" t="s">
        <v>54</v>
      </c>
      <c r="AO462" s="113">
        <f t="shared" ref="AO462:AW462" si="564">H462/H461</f>
        <v>0.12985320757515298</v>
      </c>
      <c r="AP462" s="113">
        <f t="shared" si="564"/>
        <v>0.11688054884322643</v>
      </c>
      <c r="AQ462" s="113">
        <f t="shared" si="564"/>
        <v>0.12076661210920425</v>
      </c>
      <c r="AR462" s="113">
        <f t="shared" si="564"/>
        <v>0.11450548412614081</v>
      </c>
      <c r="AS462" s="113">
        <f t="shared" si="564"/>
        <v>0.11679017106966751</v>
      </c>
      <c r="AT462" s="113">
        <f t="shared" si="564"/>
        <v>0.11021656337107792</v>
      </c>
      <c r="AU462" s="113">
        <f t="shared" si="564"/>
        <v>0.11245697213742938</v>
      </c>
      <c r="AV462" s="113">
        <f t="shared" si="564"/>
        <v>0.11004680619675662</v>
      </c>
      <c r="AW462" s="113">
        <f t="shared" si="564"/>
        <v>9.0642517819385759E-2</v>
      </c>
      <c r="AY462" s="111" t="s">
        <v>54</v>
      </c>
      <c r="AZ462" s="179">
        <f t="shared" si="532"/>
        <v>2.6749760760481512E-2</v>
      </c>
      <c r="BA462" s="179">
        <f t="shared" si="533"/>
        <v>2.9453898308493057E-2</v>
      </c>
      <c r="BB462" s="179">
        <f t="shared" si="534"/>
        <v>3.0191653027301063E-2</v>
      </c>
      <c r="BC462" s="179">
        <f t="shared" si="535"/>
        <v>2.8626371031535203E-2</v>
      </c>
      <c r="BD462" s="179">
        <f t="shared" si="536"/>
        <v>3.0599024820252885E-2</v>
      </c>
      <c r="BE462" s="179">
        <f t="shared" si="537"/>
        <v>3.1742370250870441E-2</v>
      </c>
      <c r="BF462" s="179">
        <f t="shared" si="538"/>
        <v>3.1263038254205372E-2</v>
      </c>
      <c r="BG462" s="179">
        <f t="shared" si="539"/>
        <v>2.3329922913712404E-2</v>
      </c>
      <c r="BH462" s="179">
        <f t="shared" si="540"/>
        <v>2.1210349169736267E-2</v>
      </c>
    </row>
    <row r="463" spans="2:68" s="108" customFormat="1" x14ac:dyDescent="0.25">
      <c r="B463" s="107"/>
      <c r="E463" s="109" t="s">
        <v>45</v>
      </c>
      <c r="F463" s="110" t="s">
        <v>75</v>
      </c>
      <c r="G463" s="111" t="s">
        <v>55</v>
      </c>
      <c r="H463" s="70">
        <v>120579</v>
      </c>
      <c r="I463" s="70">
        <v>127691</v>
      </c>
      <c r="J463" s="70">
        <v>129666</v>
      </c>
      <c r="K463" s="70">
        <v>149902</v>
      </c>
      <c r="L463" s="70">
        <v>155696</v>
      </c>
      <c r="M463" s="112">
        <v>163897</v>
      </c>
      <c r="N463" s="112">
        <v>177781</v>
      </c>
      <c r="O463" s="112">
        <v>188741</v>
      </c>
      <c r="P463" s="112">
        <v>229830</v>
      </c>
      <c r="R463" s="111" t="s">
        <v>55</v>
      </c>
      <c r="S463" s="81">
        <v>5</v>
      </c>
      <c r="T463" s="81">
        <v>5.6</v>
      </c>
      <c r="U463" s="81">
        <v>5</v>
      </c>
      <c r="V463" s="81">
        <v>5.2</v>
      </c>
      <c r="W463" s="81">
        <v>4.7</v>
      </c>
      <c r="X463" s="81">
        <v>6.1</v>
      </c>
      <c r="Y463" s="81">
        <v>6.1</v>
      </c>
      <c r="Z463" s="81">
        <v>5</v>
      </c>
      <c r="AA463" s="81">
        <v>4.4000000000000004</v>
      </c>
      <c r="AC463" s="111" t="s">
        <v>55</v>
      </c>
      <c r="AD463" s="70">
        <f t="shared" si="544"/>
        <v>12057.9</v>
      </c>
      <c r="AE463" s="70">
        <f t="shared" si="525"/>
        <v>14301.392</v>
      </c>
      <c r="AF463" s="70">
        <f t="shared" si="526"/>
        <v>12966.6</v>
      </c>
      <c r="AG463" s="70">
        <f t="shared" si="527"/>
        <v>15589.808000000001</v>
      </c>
      <c r="AH463" s="70">
        <f t="shared" si="528"/>
        <v>14635.424000000001</v>
      </c>
      <c r="AI463" s="70">
        <f t="shared" si="529"/>
        <v>19995.433999999997</v>
      </c>
      <c r="AJ463" s="70">
        <f t="shared" si="530"/>
        <v>21689.281999999996</v>
      </c>
      <c r="AK463" s="70">
        <f t="shared" si="541"/>
        <v>18874.099999999999</v>
      </c>
      <c r="AL463" s="70">
        <f t="shared" si="542"/>
        <v>20225.04</v>
      </c>
      <c r="AN463" s="111" t="s">
        <v>55</v>
      </c>
      <c r="AO463" s="113">
        <f t="shared" ref="AO463:AW463" si="565">H463/H461</f>
        <v>0.42578984353205812</v>
      </c>
      <c r="AP463" s="113">
        <f t="shared" si="565"/>
        <v>0.42795762351151079</v>
      </c>
      <c r="AQ463" s="113">
        <f t="shared" si="565"/>
        <v>0.41369870880672299</v>
      </c>
      <c r="AR463" s="113">
        <f t="shared" si="565"/>
        <v>0.44245504669476615</v>
      </c>
      <c r="AS463" s="113">
        <f t="shared" si="565"/>
        <v>0.42890278504724388</v>
      </c>
      <c r="AT463" s="113">
        <f t="shared" si="565"/>
        <v>0.41836500270576582</v>
      </c>
      <c r="AU463" s="113">
        <f t="shared" si="565"/>
        <v>0.41237393184201004</v>
      </c>
      <c r="AV463" s="113">
        <f t="shared" si="565"/>
        <v>0.40247145248478</v>
      </c>
      <c r="AW463" s="113">
        <f t="shared" si="565"/>
        <v>0.45079025102091252</v>
      </c>
      <c r="AY463" s="111" t="s">
        <v>55</v>
      </c>
      <c r="AZ463" s="179">
        <f t="shared" si="532"/>
        <v>4.2578984353205812E-2</v>
      </c>
      <c r="BA463" s="179">
        <f t="shared" si="533"/>
        <v>4.7931253833289202E-2</v>
      </c>
      <c r="BB463" s="179">
        <f t="shared" si="534"/>
        <v>4.1369870880672295E-2</v>
      </c>
      <c r="BC463" s="179">
        <f t="shared" si="535"/>
        <v>4.6015324856255681E-2</v>
      </c>
      <c r="BD463" s="179">
        <f t="shared" si="536"/>
        <v>4.0316861794440932E-2</v>
      </c>
      <c r="BE463" s="179">
        <f t="shared" si="537"/>
        <v>5.1040530330103424E-2</v>
      </c>
      <c r="BF463" s="179">
        <f t="shared" si="538"/>
        <v>5.0309619684725221E-2</v>
      </c>
      <c r="BG463" s="179">
        <f t="shared" si="539"/>
        <v>4.0247145248478E-2</v>
      </c>
      <c r="BH463" s="179">
        <f t="shared" si="540"/>
        <v>3.9669542089840304E-2</v>
      </c>
    </row>
    <row r="464" spans="2:68" s="108" customFormat="1" x14ac:dyDescent="0.25">
      <c r="B464" s="107"/>
      <c r="E464" s="109" t="s">
        <v>45</v>
      </c>
      <c r="F464" s="110" t="s">
        <v>75</v>
      </c>
      <c r="G464" s="111" t="s">
        <v>130</v>
      </c>
      <c r="H464" s="70">
        <v>27938</v>
      </c>
      <c r="I464" s="70">
        <v>35227</v>
      </c>
      <c r="J464" s="70">
        <v>34565</v>
      </c>
      <c r="K464" s="70">
        <v>32826</v>
      </c>
      <c r="L464" s="70">
        <v>38804</v>
      </c>
      <c r="M464" s="70">
        <v>49445</v>
      </c>
      <c r="N464" s="70">
        <v>55643</v>
      </c>
      <c r="O464" s="112">
        <v>63871</v>
      </c>
      <c r="P464" s="112">
        <v>54466</v>
      </c>
      <c r="R464" s="111" t="s">
        <v>130</v>
      </c>
      <c r="S464" s="220">
        <v>12.2</v>
      </c>
      <c r="T464" s="220">
        <v>11.7</v>
      </c>
      <c r="U464" s="220">
        <v>12.5</v>
      </c>
      <c r="V464" s="220">
        <v>13.1</v>
      </c>
      <c r="W464" s="220">
        <v>13.7</v>
      </c>
      <c r="X464" s="220">
        <v>13.5</v>
      </c>
      <c r="Y464" s="220">
        <v>12.3</v>
      </c>
      <c r="Z464" s="220">
        <v>9.6999999999999993</v>
      </c>
      <c r="AA464" s="220">
        <v>10.8</v>
      </c>
      <c r="AC464" s="111" t="s">
        <v>130</v>
      </c>
      <c r="AD464" s="70">
        <f t="shared" si="544"/>
        <v>6816.8719999999994</v>
      </c>
      <c r="AE464" s="70">
        <f t="shared" si="525"/>
        <v>8243.1179999999986</v>
      </c>
      <c r="AF464" s="70">
        <f t="shared" si="526"/>
        <v>8641.25</v>
      </c>
      <c r="AG464" s="70">
        <f t="shared" si="527"/>
        <v>8600.4120000000003</v>
      </c>
      <c r="AH464" s="70">
        <f t="shared" si="528"/>
        <v>10632.295999999998</v>
      </c>
      <c r="AI464" s="70">
        <f t="shared" si="529"/>
        <v>13350.15</v>
      </c>
      <c r="AJ464" s="70">
        <f t="shared" si="530"/>
        <v>13688.178</v>
      </c>
      <c r="AK464" s="70">
        <f t="shared" si="541"/>
        <v>12390.973999999998</v>
      </c>
      <c r="AL464" s="70">
        <f t="shared" si="542"/>
        <v>11764.656000000001</v>
      </c>
      <c r="AN464" s="111" t="s">
        <v>130</v>
      </c>
      <c r="AO464" s="113">
        <f t="shared" ref="AO464:AW464" si="566">H464/H461</f>
        <v>9.8654961880581524E-2</v>
      </c>
      <c r="AP464" s="113">
        <f t="shared" si="566"/>
        <v>0.11806363176292761</v>
      </c>
      <c r="AQ464" s="113">
        <f t="shared" si="566"/>
        <v>0.11027945544633429</v>
      </c>
      <c r="AR464" s="113">
        <f t="shared" si="566"/>
        <v>9.6890163992491063E-2</v>
      </c>
      <c r="AS464" s="113">
        <f t="shared" si="566"/>
        <v>0.10689512685600948</v>
      </c>
      <c r="AT464" s="113">
        <f t="shared" si="566"/>
        <v>0.1262137657113101</v>
      </c>
      <c r="AU464" s="113">
        <f t="shared" si="566"/>
        <v>0.12906735078261999</v>
      </c>
      <c r="AV464" s="113">
        <f t="shared" si="566"/>
        <v>0.13619856915908776</v>
      </c>
      <c r="AW464" s="113">
        <f t="shared" si="566"/>
        <v>0.10683001267069148</v>
      </c>
      <c r="AY464" s="111" t="s">
        <v>130</v>
      </c>
      <c r="AZ464" s="179">
        <f t="shared" si="532"/>
        <v>2.4071810698861888E-2</v>
      </c>
      <c r="BA464" s="179">
        <f t="shared" si="533"/>
        <v>2.7626889832525058E-2</v>
      </c>
      <c r="BB464" s="179">
        <f t="shared" si="534"/>
        <v>2.7569863861583572E-2</v>
      </c>
      <c r="BC464" s="179">
        <f t="shared" si="535"/>
        <v>2.5385222966032659E-2</v>
      </c>
      <c r="BD464" s="179">
        <f t="shared" si="536"/>
        <v>2.9289264758546592E-2</v>
      </c>
      <c r="BE464" s="179">
        <f t="shared" si="537"/>
        <v>3.4077716742053725E-2</v>
      </c>
      <c r="BF464" s="179">
        <f t="shared" si="538"/>
        <v>3.1750568292524518E-2</v>
      </c>
      <c r="BG464" s="179">
        <f t="shared" si="539"/>
        <v>2.6422522416863027E-2</v>
      </c>
      <c r="BH464" s="179">
        <f t="shared" si="540"/>
        <v>2.3075282736869363E-2</v>
      </c>
    </row>
    <row r="465" spans="2:68" s="108" customFormat="1" x14ac:dyDescent="0.25">
      <c r="B465" s="107"/>
      <c r="E465" s="109" t="s">
        <v>45</v>
      </c>
      <c r="F465" s="110" t="s">
        <v>75</v>
      </c>
      <c r="G465" s="111" t="s">
        <v>131</v>
      </c>
      <c r="H465" s="112">
        <v>97639</v>
      </c>
      <c r="I465" s="112">
        <v>99975</v>
      </c>
      <c r="J465" s="112">
        <v>110997</v>
      </c>
      <c r="K465" s="112">
        <v>116637</v>
      </c>
      <c r="L465" s="112">
        <v>126114</v>
      </c>
      <c r="M465" s="112">
        <v>135235</v>
      </c>
      <c r="N465" s="112">
        <v>149210</v>
      </c>
      <c r="O465" s="112">
        <v>164736</v>
      </c>
      <c r="P465" s="112">
        <v>179329</v>
      </c>
      <c r="R465" s="111" t="s">
        <v>131</v>
      </c>
      <c r="S465" s="220">
        <v>5.3</v>
      </c>
      <c r="T465" s="220">
        <v>6.3</v>
      </c>
      <c r="U465" s="220">
        <v>6</v>
      </c>
      <c r="V465" s="220">
        <v>6.3</v>
      </c>
      <c r="W465" s="220">
        <v>6.2</v>
      </c>
      <c r="X465" s="220">
        <v>6.3</v>
      </c>
      <c r="Y465" s="220">
        <v>6.9</v>
      </c>
      <c r="Z465" s="220">
        <v>5.2</v>
      </c>
      <c r="AA465" s="220">
        <v>5.3</v>
      </c>
      <c r="AC465" s="111" t="s">
        <v>131</v>
      </c>
      <c r="AD465" s="112">
        <f t="shared" si="544"/>
        <v>10349.734</v>
      </c>
      <c r="AE465" s="112">
        <f t="shared" si="525"/>
        <v>12596.85</v>
      </c>
      <c r="AF465" s="112">
        <f t="shared" si="526"/>
        <v>13319.64</v>
      </c>
      <c r="AG465" s="112">
        <f t="shared" si="527"/>
        <v>14696.261999999999</v>
      </c>
      <c r="AH465" s="112">
        <f t="shared" si="528"/>
        <v>15638.136</v>
      </c>
      <c r="AI465" s="112">
        <f t="shared" si="529"/>
        <v>17039.61</v>
      </c>
      <c r="AJ465" s="112">
        <f t="shared" si="530"/>
        <v>20590.98</v>
      </c>
      <c r="AK465" s="112">
        <f t="shared" si="541"/>
        <v>17132.544000000002</v>
      </c>
      <c r="AL465" s="112">
        <f t="shared" si="542"/>
        <v>19008.874</v>
      </c>
      <c r="AN465" s="111" t="s">
        <v>131</v>
      </c>
      <c r="AO465" s="113">
        <f t="shared" ref="AO465:AW465" si="567">H465/H461</f>
        <v>0.34478387225492518</v>
      </c>
      <c r="AP465" s="113">
        <f t="shared" si="567"/>
        <v>0.3350671810116867</v>
      </c>
      <c r="AQ465" s="113">
        <f t="shared" si="567"/>
        <v>0.35413535993567963</v>
      </c>
      <c r="AR465" s="113">
        <f t="shared" si="567"/>
        <v>0.34426911769914637</v>
      </c>
      <c r="AS465" s="113">
        <f t="shared" si="567"/>
        <v>0.34741191702707913</v>
      </c>
      <c r="AT465" s="113">
        <f t="shared" si="567"/>
        <v>0.34520211560256897</v>
      </c>
      <c r="AU465" s="113">
        <f t="shared" si="567"/>
        <v>0.34610174523794063</v>
      </c>
      <c r="AV465" s="113">
        <f t="shared" si="567"/>
        <v>0.35128317215937566</v>
      </c>
      <c r="AW465" s="113">
        <f t="shared" si="567"/>
        <v>0.35173721848901024</v>
      </c>
      <c r="AY465" s="111" t="s">
        <v>131</v>
      </c>
      <c r="AZ465" s="179">
        <f t="shared" si="532"/>
        <v>3.6547090459022068E-2</v>
      </c>
      <c r="BA465" s="179">
        <f t="shared" si="533"/>
        <v>4.2218464807472517E-2</v>
      </c>
      <c r="BB465" s="179">
        <f t="shared" si="534"/>
        <v>4.2496243192281555E-2</v>
      </c>
      <c r="BC465" s="179">
        <f t="shared" si="535"/>
        <v>4.3377908830092446E-2</v>
      </c>
      <c r="BD465" s="179">
        <f t="shared" si="536"/>
        <v>4.3079077711357813E-2</v>
      </c>
      <c r="BE465" s="179">
        <f t="shared" si="537"/>
        <v>4.3495466565923693E-2</v>
      </c>
      <c r="BF465" s="179">
        <f t="shared" si="538"/>
        <v>4.7762040842835807E-2</v>
      </c>
      <c r="BG465" s="179">
        <f t="shared" si="539"/>
        <v>3.653344990457507E-2</v>
      </c>
      <c r="BH465" s="179">
        <f t="shared" si="540"/>
        <v>3.728414515983508E-2</v>
      </c>
    </row>
    <row r="466" spans="2:68" s="87" customFormat="1" x14ac:dyDescent="0.25">
      <c r="B466" s="84"/>
      <c r="C466" s="85"/>
      <c r="D466" s="85"/>
      <c r="E466" s="109" t="s">
        <v>46</v>
      </c>
      <c r="F466" s="110" t="s">
        <v>75</v>
      </c>
      <c r="G466" s="195" t="s">
        <v>7</v>
      </c>
      <c r="H466" s="69">
        <v>2481569</v>
      </c>
      <c r="I466" s="69">
        <v>2604210</v>
      </c>
      <c r="J466" s="69">
        <v>2686119</v>
      </c>
      <c r="K466" s="69">
        <v>2899266</v>
      </c>
      <c r="L466" s="69">
        <v>3042617</v>
      </c>
      <c r="M466" s="69">
        <v>3166822</v>
      </c>
      <c r="N466" s="69">
        <v>3358680</v>
      </c>
      <c r="O466" s="69">
        <v>3496663</v>
      </c>
      <c r="P466" s="69">
        <v>3578490</v>
      </c>
      <c r="R466" s="195" t="s">
        <v>7</v>
      </c>
      <c r="S466" s="226">
        <v>0.2</v>
      </c>
      <c r="T466" s="226">
        <v>0.5</v>
      </c>
      <c r="U466" s="226">
        <v>0.2</v>
      </c>
      <c r="V466" s="226">
        <v>0.5</v>
      </c>
      <c r="W466" s="226">
        <v>0.6</v>
      </c>
      <c r="X466" s="226">
        <v>0.7</v>
      </c>
      <c r="Y466" s="226">
        <v>0.2</v>
      </c>
      <c r="Z466" s="226">
        <v>0.2</v>
      </c>
      <c r="AA466" s="226">
        <v>0.2</v>
      </c>
      <c r="AC466" s="195" t="s">
        <v>7</v>
      </c>
      <c r="AD466" s="69">
        <f t="shared" si="544"/>
        <v>9926.2760000000017</v>
      </c>
      <c r="AE466" s="69">
        <f t="shared" si="525"/>
        <v>26042.1</v>
      </c>
      <c r="AF466" s="69">
        <f t="shared" si="526"/>
        <v>10744.476000000001</v>
      </c>
      <c r="AG466" s="69">
        <f t="shared" si="527"/>
        <v>28992.66</v>
      </c>
      <c r="AH466" s="69">
        <f t="shared" si="528"/>
        <v>36511.404000000002</v>
      </c>
      <c r="AI466" s="69">
        <f t="shared" si="529"/>
        <v>44335.508000000002</v>
      </c>
      <c r="AJ466" s="69">
        <f t="shared" si="530"/>
        <v>13434.72</v>
      </c>
      <c r="AK466" s="69">
        <f t="shared" si="541"/>
        <v>13986.652000000002</v>
      </c>
      <c r="AL466" s="69">
        <f t="shared" si="542"/>
        <v>14313.96</v>
      </c>
      <c r="AN466" s="195" t="s">
        <v>7</v>
      </c>
      <c r="AO466" s="98">
        <f t="shared" ref="AO466:AW466" si="568">H466/H466</f>
        <v>1</v>
      </c>
      <c r="AP466" s="98">
        <f t="shared" si="568"/>
        <v>1</v>
      </c>
      <c r="AQ466" s="98">
        <f t="shared" si="568"/>
        <v>1</v>
      </c>
      <c r="AR466" s="98">
        <f t="shared" si="568"/>
        <v>1</v>
      </c>
      <c r="AS466" s="98">
        <f t="shared" si="568"/>
        <v>1</v>
      </c>
      <c r="AT466" s="98">
        <f t="shared" si="568"/>
        <v>1</v>
      </c>
      <c r="AU466" s="98">
        <f t="shared" si="568"/>
        <v>1</v>
      </c>
      <c r="AV466" s="98">
        <f t="shared" si="568"/>
        <v>1</v>
      </c>
      <c r="AW466" s="98">
        <f t="shared" si="568"/>
        <v>1</v>
      </c>
      <c r="AX466" s="191"/>
      <c r="AY466" s="195" t="s">
        <v>7</v>
      </c>
      <c r="AZ466" s="178">
        <f t="shared" si="532"/>
        <v>4.0000000000000001E-3</v>
      </c>
      <c r="BA466" s="178">
        <f t="shared" si="533"/>
        <v>0.01</v>
      </c>
      <c r="BB466" s="178">
        <f t="shared" si="534"/>
        <v>4.0000000000000001E-3</v>
      </c>
      <c r="BC466" s="178">
        <f t="shared" si="535"/>
        <v>0.01</v>
      </c>
      <c r="BD466" s="178">
        <f t="shared" si="536"/>
        <v>1.2E-2</v>
      </c>
      <c r="BE466" s="178">
        <f t="shared" si="537"/>
        <v>1.3999999999999999E-2</v>
      </c>
      <c r="BF466" s="178">
        <f t="shared" si="538"/>
        <v>4.0000000000000001E-3</v>
      </c>
      <c r="BG466" s="178">
        <f t="shared" si="539"/>
        <v>4.0000000000000001E-3</v>
      </c>
      <c r="BH466" s="178">
        <f t="shared" si="540"/>
        <v>4.0000000000000001E-3</v>
      </c>
      <c r="BI466" s="191"/>
      <c r="BJ466" s="191"/>
      <c r="BK466" s="191"/>
      <c r="BL466" s="191"/>
      <c r="BM466" s="191"/>
      <c r="BN466" s="191"/>
      <c r="BO466" s="191"/>
      <c r="BP466" s="191"/>
    </row>
    <row r="467" spans="2:68" s="108" customFormat="1" x14ac:dyDescent="0.25">
      <c r="B467" s="107"/>
      <c r="E467" s="109" t="s">
        <v>46</v>
      </c>
      <c r="F467" s="110" t="s">
        <v>75</v>
      </c>
      <c r="G467" s="111" t="s">
        <v>54</v>
      </c>
      <c r="H467" s="112">
        <v>685371</v>
      </c>
      <c r="I467" s="112">
        <v>595408</v>
      </c>
      <c r="J467" s="112">
        <v>611054</v>
      </c>
      <c r="K467" s="112">
        <v>645075</v>
      </c>
      <c r="L467" s="112">
        <v>697650</v>
      </c>
      <c r="M467" s="112">
        <v>682549</v>
      </c>
      <c r="N467" s="112">
        <v>658272</v>
      </c>
      <c r="O467" s="112">
        <v>642047</v>
      </c>
      <c r="P467" s="112">
        <v>586696</v>
      </c>
      <c r="R467" s="111" t="s">
        <v>54</v>
      </c>
      <c r="S467" s="220">
        <v>0.8</v>
      </c>
      <c r="T467" s="220">
        <v>0.8</v>
      </c>
      <c r="U467" s="220">
        <v>2.2000000000000002</v>
      </c>
      <c r="V467" s="220">
        <v>3</v>
      </c>
      <c r="W467" s="220">
        <v>2.7</v>
      </c>
      <c r="X467" s="220">
        <v>3.7</v>
      </c>
      <c r="Y467" s="220">
        <v>3.8</v>
      </c>
      <c r="Z467" s="220">
        <v>1.2</v>
      </c>
      <c r="AA467" s="220">
        <v>1.3</v>
      </c>
      <c r="AC467" s="111" t="s">
        <v>54</v>
      </c>
      <c r="AD467" s="112">
        <f t="shared" si="544"/>
        <v>10965.936000000002</v>
      </c>
      <c r="AE467" s="112">
        <f t="shared" si="525"/>
        <v>9526.5280000000002</v>
      </c>
      <c r="AF467" s="112">
        <f t="shared" si="526"/>
        <v>26886.376</v>
      </c>
      <c r="AG467" s="112">
        <f t="shared" si="527"/>
        <v>38704.5</v>
      </c>
      <c r="AH467" s="112">
        <f t="shared" si="528"/>
        <v>37673.100000000006</v>
      </c>
      <c r="AI467" s="112">
        <f t="shared" si="529"/>
        <v>50508.626000000004</v>
      </c>
      <c r="AJ467" s="112">
        <f t="shared" si="530"/>
        <v>50028.671999999999</v>
      </c>
      <c r="AK467" s="112">
        <f t="shared" si="541"/>
        <v>15409.128000000001</v>
      </c>
      <c r="AL467" s="112">
        <f t="shared" si="542"/>
        <v>15254.096000000001</v>
      </c>
      <c r="AN467" s="111" t="s">
        <v>54</v>
      </c>
      <c r="AO467" s="113">
        <f t="shared" ref="AO467:AW467" si="569">H467/H466</f>
        <v>0.27618454292425476</v>
      </c>
      <c r="AP467" s="113">
        <f t="shared" si="569"/>
        <v>0.22863286754908399</v>
      </c>
      <c r="AQ467" s="113">
        <f t="shared" si="569"/>
        <v>0.2274858262050192</v>
      </c>
      <c r="AR467" s="113">
        <f t="shared" si="569"/>
        <v>0.22249596966956464</v>
      </c>
      <c r="AS467" s="113">
        <f t="shared" si="569"/>
        <v>0.2292927437137175</v>
      </c>
      <c r="AT467" s="113">
        <f t="shared" si="569"/>
        <v>0.21553121710029802</v>
      </c>
      <c r="AU467" s="113">
        <f t="shared" si="569"/>
        <v>0.19599128228947085</v>
      </c>
      <c r="AV467" s="113">
        <f t="shared" si="569"/>
        <v>0.18361706575669431</v>
      </c>
      <c r="AW467" s="113">
        <f t="shared" si="569"/>
        <v>0.16395071664305336</v>
      </c>
      <c r="AY467" s="111" t="s">
        <v>54</v>
      </c>
      <c r="AZ467" s="179">
        <f t="shared" si="532"/>
        <v>4.4189526867880764E-3</v>
      </c>
      <c r="BA467" s="179">
        <f t="shared" si="533"/>
        <v>3.6581258807853439E-3</v>
      </c>
      <c r="BB467" s="179">
        <f t="shared" si="534"/>
        <v>1.0009376353020844E-2</v>
      </c>
      <c r="BC467" s="179">
        <f t="shared" si="535"/>
        <v>1.3349758180173879E-2</v>
      </c>
      <c r="BD467" s="179">
        <f t="shared" si="536"/>
        <v>1.2381808160540747E-2</v>
      </c>
      <c r="BE467" s="179">
        <f t="shared" si="537"/>
        <v>1.5949310065422054E-2</v>
      </c>
      <c r="BF467" s="179">
        <f t="shared" si="538"/>
        <v>1.4895337453999784E-2</v>
      </c>
      <c r="BG467" s="179">
        <f t="shared" si="539"/>
        <v>4.4068095781606637E-3</v>
      </c>
      <c r="BH467" s="179">
        <f t="shared" si="540"/>
        <v>4.2627186327193868E-3</v>
      </c>
    </row>
    <row r="468" spans="2:68" s="108" customFormat="1" x14ac:dyDescent="0.25">
      <c r="B468" s="107"/>
      <c r="E468" s="109" t="s">
        <v>46</v>
      </c>
      <c r="F468" s="110" t="s">
        <v>75</v>
      </c>
      <c r="G468" s="111" t="s">
        <v>55</v>
      </c>
      <c r="H468" s="70">
        <v>558095</v>
      </c>
      <c r="I468" s="70">
        <v>653553</v>
      </c>
      <c r="J468" s="70">
        <v>644886</v>
      </c>
      <c r="K468" s="70">
        <v>691476</v>
      </c>
      <c r="L468" s="70">
        <v>690060</v>
      </c>
      <c r="M468" s="112">
        <v>696012</v>
      </c>
      <c r="N468" s="112">
        <v>765485</v>
      </c>
      <c r="O468" s="112">
        <v>793553</v>
      </c>
      <c r="P468" s="112">
        <v>807530</v>
      </c>
      <c r="R468" s="111" t="s">
        <v>55</v>
      </c>
      <c r="S468" s="81">
        <v>0.8</v>
      </c>
      <c r="T468" s="81">
        <v>0.8</v>
      </c>
      <c r="U468" s="81">
        <v>2.2000000000000002</v>
      </c>
      <c r="V468" s="81">
        <v>3</v>
      </c>
      <c r="W468" s="81">
        <v>2.7</v>
      </c>
      <c r="X468" s="81">
        <v>3</v>
      </c>
      <c r="Y468" s="81">
        <v>2.6</v>
      </c>
      <c r="Z468" s="81">
        <v>1</v>
      </c>
      <c r="AA468" s="81">
        <v>1</v>
      </c>
      <c r="AC468" s="111" t="s">
        <v>55</v>
      </c>
      <c r="AD468" s="70">
        <f t="shared" si="544"/>
        <v>8929.52</v>
      </c>
      <c r="AE468" s="70">
        <f t="shared" si="525"/>
        <v>10456.848</v>
      </c>
      <c r="AF468" s="70">
        <f t="shared" si="526"/>
        <v>28374.984000000004</v>
      </c>
      <c r="AG468" s="70">
        <f t="shared" si="527"/>
        <v>41488.559999999998</v>
      </c>
      <c r="AH468" s="70">
        <f t="shared" si="528"/>
        <v>37263.240000000005</v>
      </c>
      <c r="AI468" s="70">
        <f t="shared" si="529"/>
        <v>41760.720000000001</v>
      </c>
      <c r="AJ468" s="70">
        <f t="shared" si="530"/>
        <v>39805.22</v>
      </c>
      <c r="AK468" s="70">
        <f t="shared" si="541"/>
        <v>15871.06</v>
      </c>
      <c r="AL468" s="70">
        <f t="shared" si="542"/>
        <v>16150.6</v>
      </c>
      <c r="AN468" s="111" t="s">
        <v>55</v>
      </c>
      <c r="AO468" s="113">
        <f t="shared" ref="AO468:AW468" si="570">H468/H466</f>
        <v>0.2248960234432329</v>
      </c>
      <c r="AP468" s="113">
        <f t="shared" si="570"/>
        <v>0.25096017602267096</v>
      </c>
      <c r="AQ468" s="113">
        <f t="shared" si="570"/>
        <v>0.24008094950372638</v>
      </c>
      <c r="AR468" s="113">
        <f t="shared" si="570"/>
        <v>0.2385003652648636</v>
      </c>
      <c r="AS468" s="113">
        <f t="shared" si="570"/>
        <v>0.22679818064514856</v>
      </c>
      <c r="AT468" s="113">
        <f t="shared" si="570"/>
        <v>0.21978248224876548</v>
      </c>
      <c r="AU468" s="113">
        <f t="shared" si="570"/>
        <v>0.22791245370204963</v>
      </c>
      <c r="AV468" s="113">
        <f t="shared" si="570"/>
        <v>0.22694580518625901</v>
      </c>
      <c r="AW468" s="113">
        <f t="shared" si="570"/>
        <v>0.22566222065731636</v>
      </c>
      <c r="AY468" s="111" t="s">
        <v>55</v>
      </c>
      <c r="AZ468" s="179">
        <f t="shared" si="532"/>
        <v>3.5983363750917265E-3</v>
      </c>
      <c r="BA468" s="179">
        <f t="shared" si="533"/>
        <v>4.015362816362735E-3</v>
      </c>
      <c r="BB468" s="179">
        <f t="shared" si="534"/>
        <v>1.0563561778163961E-2</v>
      </c>
      <c r="BC468" s="179">
        <f t="shared" si="535"/>
        <v>1.4310021915891815E-2</v>
      </c>
      <c r="BD468" s="179">
        <f t="shared" si="536"/>
        <v>1.2247101754838024E-2</v>
      </c>
      <c r="BE468" s="179">
        <f t="shared" si="537"/>
        <v>1.3186948934925929E-2</v>
      </c>
      <c r="BF468" s="179">
        <f t="shared" si="538"/>
        <v>1.1851447592506581E-2</v>
      </c>
      <c r="BG468" s="179">
        <f t="shared" si="539"/>
        <v>4.53891610372518E-3</v>
      </c>
      <c r="BH468" s="179">
        <f t="shared" si="540"/>
        <v>4.5132444131463275E-3</v>
      </c>
    </row>
    <row r="469" spans="2:68" s="108" customFormat="1" x14ac:dyDescent="0.25">
      <c r="B469" s="107"/>
      <c r="E469" s="109" t="s">
        <v>46</v>
      </c>
      <c r="F469" s="110" t="s">
        <v>75</v>
      </c>
      <c r="G469" s="111" t="s">
        <v>130</v>
      </c>
      <c r="H469" s="70">
        <v>314043</v>
      </c>
      <c r="I469" s="70">
        <v>345653</v>
      </c>
      <c r="J469" s="70">
        <v>331652</v>
      </c>
      <c r="K469" s="70">
        <v>334552</v>
      </c>
      <c r="L469" s="70">
        <v>354983</v>
      </c>
      <c r="M469" s="70">
        <v>403697</v>
      </c>
      <c r="N469" s="70">
        <v>411182</v>
      </c>
      <c r="O469" s="112">
        <v>475299</v>
      </c>
      <c r="P469" s="112">
        <v>452955</v>
      </c>
      <c r="R469" s="111" t="s">
        <v>130</v>
      </c>
      <c r="S469" s="220">
        <v>1.1000000000000001</v>
      </c>
      <c r="T469" s="220">
        <v>1.2</v>
      </c>
      <c r="U469" s="220">
        <v>1.2</v>
      </c>
      <c r="V469" s="220">
        <v>3.5</v>
      </c>
      <c r="W469" s="220">
        <v>4.2</v>
      </c>
      <c r="X469" s="220">
        <v>4.2</v>
      </c>
      <c r="Y469" s="220">
        <v>4.3</v>
      </c>
      <c r="Z469" s="220">
        <v>1.6</v>
      </c>
      <c r="AA469" s="220">
        <v>1.6</v>
      </c>
      <c r="AC469" s="111" t="s">
        <v>130</v>
      </c>
      <c r="AD469" s="70">
        <f t="shared" si="544"/>
        <v>6908.9460000000008</v>
      </c>
      <c r="AE469" s="70">
        <f t="shared" si="525"/>
        <v>8295.6719999999987</v>
      </c>
      <c r="AF469" s="70">
        <f t="shared" si="526"/>
        <v>7959.6479999999992</v>
      </c>
      <c r="AG469" s="70">
        <f t="shared" si="527"/>
        <v>23418.639999999999</v>
      </c>
      <c r="AH469" s="70">
        <f t="shared" si="528"/>
        <v>29818.572</v>
      </c>
      <c r="AI469" s="70">
        <f t="shared" si="529"/>
        <v>33910.548000000003</v>
      </c>
      <c r="AJ469" s="70">
        <f t="shared" si="530"/>
        <v>35361.651999999995</v>
      </c>
      <c r="AK469" s="70">
        <f t="shared" si="541"/>
        <v>15209.568000000001</v>
      </c>
      <c r="AL469" s="70">
        <f t="shared" si="542"/>
        <v>14494.56</v>
      </c>
      <c r="AN469" s="111" t="s">
        <v>130</v>
      </c>
      <c r="AO469" s="113">
        <f t="shared" ref="AO469:AW469" si="571">H469/H466</f>
        <v>0.12655017853624059</v>
      </c>
      <c r="AP469" s="113">
        <f t="shared" si="571"/>
        <v>0.13272854339703788</v>
      </c>
      <c r="AQ469" s="113">
        <f t="shared" si="571"/>
        <v>0.12346884110495476</v>
      </c>
      <c r="AR469" s="113">
        <f t="shared" si="571"/>
        <v>0.11539196472486485</v>
      </c>
      <c r="AS469" s="113">
        <f t="shared" si="571"/>
        <v>0.11667028745320229</v>
      </c>
      <c r="AT469" s="113">
        <f t="shared" si="571"/>
        <v>0.12747701007508475</v>
      </c>
      <c r="AU469" s="113">
        <f t="shared" si="571"/>
        <v>0.12242369025926852</v>
      </c>
      <c r="AV469" s="113">
        <f t="shared" si="571"/>
        <v>0.13592931317659152</v>
      </c>
      <c r="AW469" s="113">
        <f t="shared" si="571"/>
        <v>0.12657713169521223</v>
      </c>
      <c r="AY469" s="111" t="s">
        <v>130</v>
      </c>
      <c r="AZ469" s="179">
        <f t="shared" si="532"/>
        <v>2.7841039277972934E-3</v>
      </c>
      <c r="BA469" s="179">
        <f t="shared" si="533"/>
        <v>3.1854850415289088E-3</v>
      </c>
      <c r="BB469" s="179">
        <f t="shared" si="534"/>
        <v>2.9632521865189144E-3</v>
      </c>
      <c r="BC469" s="179">
        <f t="shared" si="535"/>
        <v>8.0774375307405381E-3</v>
      </c>
      <c r="BD469" s="179">
        <f t="shared" si="536"/>
        <v>9.800304146068993E-3</v>
      </c>
      <c r="BE469" s="179">
        <f t="shared" si="537"/>
        <v>1.0708068846307119E-2</v>
      </c>
      <c r="BF469" s="179">
        <f t="shared" si="538"/>
        <v>1.0528437362297091E-2</v>
      </c>
      <c r="BG469" s="179">
        <f t="shared" si="539"/>
        <v>4.3497380216509281E-3</v>
      </c>
      <c r="BH469" s="179">
        <f t="shared" si="540"/>
        <v>4.050468214246792E-3</v>
      </c>
    </row>
    <row r="470" spans="2:68" s="108" customFormat="1" x14ac:dyDescent="0.25">
      <c r="B470" s="107"/>
      <c r="E470" s="109" t="s">
        <v>46</v>
      </c>
      <c r="F470" s="110" t="s">
        <v>75</v>
      </c>
      <c r="G470" s="111" t="s">
        <v>131</v>
      </c>
      <c r="H470" s="112">
        <v>914379</v>
      </c>
      <c r="I470" s="112">
        <v>987138</v>
      </c>
      <c r="J470" s="112">
        <v>1087422</v>
      </c>
      <c r="K470" s="112">
        <v>1212941</v>
      </c>
      <c r="L470" s="112">
        <v>1290391</v>
      </c>
      <c r="M470" s="112">
        <v>1372301</v>
      </c>
      <c r="N470" s="112">
        <v>1512549</v>
      </c>
      <c r="O470" s="112">
        <v>1585764</v>
      </c>
      <c r="P470" s="112">
        <v>1731308</v>
      </c>
      <c r="R470" s="111" t="s">
        <v>131</v>
      </c>
      <c r="S470" s="220">
        <v>0.6</v>
      </c>
      <c r="T470" s="220">
        <v>0.6</v>
      </c>
      <c r="U470" s="220">
        <v>1</v>
      </c>
      <c r="V470" s="220">
        <v>1.9</v>
      </c>
      <c r="W470" s="220">
        <v>1.6</v>
      </c>
      <c r="X470" s="220">
        <v>2.4</v>
      </c>
      <c r="Y470" s="220">
        <v>1.5</v>
      </c>
      <c r="Z470" s="220">
        <v>0.6</v>
      </c>
      <c r="AA470" s="220">
        <v>0.6</v>
      </c>
      <c r="AC470" s="111" t="s">
        <v>131</v>
      </c>
      <c r="AD470" s="112">
        <f t="shared" si="544"/>
        <v>10972.548000000001</v>
      </c>
      <c r="AE470" s="112">
        <f t="shared" si="525"/>
        <v>11845.655999999999</v>
      </c>
      <c r="AF470" s="112">
        <f t="shared" si="526"/>
        <v>21748.44</v>
      </c>
      <c r="AG470" s="112">
        <f t="shared" si="527"/>
        <v>46091.758000000002</v>
      </c>
      <c r="AH470" s="112">
        <f t="shared" si="528"/>
        <v>41292.512000000002</v>
      </c>
      <c r="AI470" s="112">
        <f t="shared" si="529"/>
        <v>65870.448000000004</v>
      </c>
      <c r="AJ470" s="112">
        <f t="shared" si="530"/>
        <v>45376.47</v>
      </c>
      <c r="AK470" s="112">
        <f t="shared" si="541"/>
        <v>19029.167999999998</v>
      </c>
      <c r="AL470" s="112">
        <f t="shared" si="542"/>
        <v>20775.696</v>
      </c>
      <c r="AN470" s="111" t="s">
        <v>131</v>
      </c>
      <c r="AO470" s="113">
        <f t="shared" ref="AO470:AW470" si="572">H470/H466</f>
        <v>0.3684680941775143</v>
      </c>
      <c r="AP470" s="113">
        <f t="shared" si="572"/>
        <v>0.37905468453004942</v>
      </c>
      <c r="AQ470" s="113">
        <f t="shared" si="572"/>
        <v>0.4048301657521502</v>
      </c>
      <c r="AR470" s="113">
        <f t="shared" si="572"/>
        <v>0.41836140595585225</v>
      </c>
      <c r="AS470" s="113">
        <f t="shared" si="572"/>
        <v>0.42410563012038649</v>
      </c>
      <c r="AT470" s="113">
        <f t="shared" si="572"/>
        <v>0.43333695420835144</v>
      </c>
      <c r="AU470" s="113">
        <f t="shared" si="572"/>
        <v>0.45034031226553289</v>
      </c>
      <c r="AV470" s="113">
        <f t="shared" si="572"/>
        <v>0.45350781588045519</v>
      </c>
      <c r="AW470" s="113">
        <f t="shared" si="572"/>
        <v>0.48380965155694161</v>
      </c>
      <c r="AY470" s="111" t="s">
        <v>131</v>
      </c>
      <c r="AZ470" s="179">
        <f t="shared" si="532"/>
        <v>4.4216171301301715E-3</v>
      </c>
      <c r="BA470" s="179">
        <f t="shared" si="533"/>
        <v>4.5486562143605934E-3</v>
      </c>
      <c r="BB470" s="179">
        <f t="shared" si="534"/>
        <v>8.0966033150430047E-3</v>
      </c>
      <c r="BC470" s="179">
        <f t="shared" si="535"/>
        <v>1.5897733426322384E-2</v>
      </c>
      <c r="BD470" s="179">
        <f t="shared" si="536"/>
        <v>1.3571380163852368E-2</v>
      </c>
      <c r="BE470" s="179">
        <f t="shared" si="537"/>
        <v>2.0800173802000867E-2</v>
      </c>
      <c r="BF470" s="179">
        <f t="shared" si="538"/>
        <v>1.3510209367965986E-2</v>
      </c>
      <c r="BG470" s="179">
        <f t="shared" si="539"/>
        <v>5.4420937905654623E-3</v>
      </c>
      <c r="BH470" s="179">
        <f t="shared" si="540"/>
        <v>5.8057158186832995E-3</v>
      </c>
    </row>
    <row r="471" spans="2:68" s="87" customFormat="1" x14ac:dyDescent="0.25">
      <c r="B471" s="84"/>
      <c r="C471" s="85"/>
      <c r="D471" s="85"/>
      <c r="E471" s="109" t="s">
        <v>4</v>
      </c>
      <c r="F471" s="110" t="s">
        <v>75</v>
      </c>
      <c r="G471" s="195" t="s">
        <v>7</v>
      </c>
      <c r="H471" s="69">
        <v>1248618</v>
      </c>
      <c r="I471" s="69">
        <v>1310038</v>
      </c>
      <c r="J471" s="69">
        <v>1351451</v>
      </c>
      <c r="K471" s="69">
        <v>1467328</v>
      </c>
      <c r="L471" s="69">
        <v>1549909</v>
      </c>
      <c r="M471" s="69">
        <v>1612789</v>
      </c>
      <c r="N471" s="69">
        <v>1706411</v>
      </c>
      <c r="O471" s="69">
        <v>1775836</v>
      </c>
      <c r="P471" s="69">
        <v>1807638</v>
      </c>
      <c r="R471" s="195" t="s">
        <v>7</v>
      </c>
      <c r="S471" s="226">
        <v>0.2</v>
      </c>
      <c r="T471" s="226">
        <v>0.2</v>
      </c>
      <c r="U471" s="226">
        <v>0.2</v>
      </c>
      <c r="V471" s="226">
        <v>0.6</v>
      </c>
      <c r="W471" s="226">
        <v>0.7</v>
      </c>
      <c r="X471" s="226">
        <v>0.8</v>
      </c>
      <c r="Y471" s="226">
        <v>0.2</v>
      </c>
      <c r="Z471" s="226">
        <v>0.2</v>
      </c>
      <c r="AA471" s="226">
        <v>0.2</v>
      </c>
      <c r="AC471" s="195" t="s">
        <v>7</v>
      </c>
      <c r="AD471" s="69">
        <f t="shared" si="544"/>
        <v>4994.4719999999998</v>
      </c>
      <c r="AE471" s="69">
        <f t="shared" si="525"/>
        <v>5240.152</v>
      </c>
      <c r="AF471" s="69">
        <f t="shared" si="526"/>
        <v>5405.8040000000001</v>
      </c>
      <c r="AG471" s="69">
        <f t="shared" si="527"/>
        <v>17607.935999999998</v>
      </c>
      <c r="AH471" s="69">
        <f t="shared" si="528"/>
        <v>21698.726000000002</v>
      </c>
      <c r="AI471" s="69">
        <f t="shared" si="529"/>
        <v>25804.624000000003</v>
      </c>
      <c r="AJ471" s="69">
        <f t="shared" si="530"/>
        <v>6825.6440000000002</v>
      </c>
      <c r="AK471" s="69">
        <f t="shared" si="541"/>
        <v>7103.3440000000001</v>
      </c>
      <c r="AL471" s="69">
        <f t="shared" si="542"/>
        <v>7230.5520000000006</v>
      </c>
      <c r="AN471" s="195" t="s">
        <v>7</v>
      </c>
      <c r="AO471" s="98">
        <f t="shared" ref="AO471:AW471" si="573">H471/H471</f>
        <v>1</v>
      </c>
      <c r="AP471" s="98">
        <f t="shared" si="573"/>
        <v>1</v>
      </c>
      <c r="AQ471" s="98">
        <f t="shared" si="573"/>
        <v>1</v>
      </c>
      <c r="AR471" s="98">
        <f t="shared" si="573"/>
        <v>1</v>
      </c>
      <c r="AS471" s="98">
        <f t="shared" si="573"/>
        <v>1</v>
      </c>
      <c r="AT471" s="98">
        <f t="shared" si="573"/>
        <v>1</v>
      </c>
      <c r="AU471" s="98">
        <f t="shared" si="573"/>
        <v>1</v>
      </c>
      <c r="AV471" s="98">
        <f t="shared" si="573"/>
        <v>1</v>
      </c>
      <c r="AW471" s="98">
        <f t="shared" si="573"/>
        <v>1</v>
      </c>
      <c r="AX471" s="191"/>
      <c r="AY471" s="195" t="s">
        <v>7</v>
      </c>
      <c r="AZ471" s="178">
        <f t="shared" si="532"/>
        <v>4.0000000000000001E-3</v>
      </c>
      <c r="BA471" s="178">
        <f t="shared" si="533"/>
        <v>4.0000000000000001E-3</v>
      </c>
      <c r="BB471" s="178">
        <f t="shared" si="534"/>
        <v>4.0000000000000001E-3</v>
      </c>
      <c r="BC471" s="178">
        <f t="shared" si="535"/>
        <v>1.2E-2</v>
      </c>
      <c r="BD471" s="178">
        <f t="shared" si="536"/>
        <v>1.3999999999999999E-2</v>
      </c>
      <c r="BE471" s="178">
        <f t="shared" si="537"/>
        <v>1.6E-2</v>
      </c>
      <c r="BF471" s="178">
        <f t="shared" si="538"/>
        <v>4.0000000000000001E-3</v>
      </c>
      <c r="BG471" s="178">
        <f t="shared" si="539"/>
        <v>4.0000000000000001E-3</v>
      </c>
      <c r="BH471" s="178">
        <f t="shared" si="540"/>
        <v>4.0000000000000001E-3</v>
      </c>
      <c r="BI471" s="191"/>
      <c r="BJ471" s="191"/>
      <c r="BK471" s="191"/>
      <c r="BL471" s="191"/>
      <c r="BM471" s="191"/>
      <c r="BN471" s="191"/>
      <c r="BO471" s="191"/>
      <c r="BP471" s="191"/>
    </row>
    <row r="472" spans="2:68" s="108" customFormat="1" x14ac:dyDescent="0.25">
      <c r="B472" s="107"/>
      <c r="E472" s="109" t="s">
        <v>4</v>
      </c>
      <c r="F472" s="110" t="s">
        <v>75</v>
      </c>
      <c r="G472" s="111" t="s">
        <v>54</v>
      </c>
      <c r="H472" s="112">
        <v>370810</v>
      </c>
      <c r="I472" s="112">
        <v>322838</v>
      </c>
      <c r="J472" s="112">
        <v>344530</v>
      </c>
      <c r="K472" s="112">
        <v>368105</v>
      </c>
      <c r="L472" s="112">
        <v>410985</v>
      </c>
      <c r="M472" s="112">
        <v>395734</v>
      </c>
      <c r="N472" s="112">
        <v>390684</v>
      </c>
      <c r="O472" s="112">
        <v>372872</v>
      </c>
      <c r="P472" s="112">
        <v>363417</v>
      </c>
      <c r="R472" s="111" t="s">
        <v>54</v>
      </c>
      <c r="S472" s="220">
        <v>1.1000000000000001</v>
      </c>
      <c r="T472" s="220">
        <v>1.2</v>
      </c>
      <c r="U472" s="220">
        <v>3.5</v>
      </c>
      <c r="V472" s="220">
        <v>3.5</v>
      </c>
      <c r="W472" s="220">
        <v>3.7</v>
      </c>
      <c r="X472" s="220">
        <v>4.4000000000000004</v>
      </c>
      <c r="Y472" s="220">
        <v>4.5999999999999996</v>
      </c>
      <c r="Z472" s="220">
        <v>2</v>
      </c>
      <c r="AA472" s="220">
        <v>1.9</v>
      </c>
      <c r="AC472" s="111" t="s">
        <v>54</v>
      </c>
      <c r="AD472" s="112">
        <f t="shared" si="544"/>
        <v>8157.8200000000015</v>
      </c>
      <c r="AE472" s="112">
        <f t="shared" si="525"/>
        <v>7748.1119999999992</v>
      </c>
      <c r="AF472" s="112">
        <f t="shared" si="526"/>
        <v>24117.1</v>
      </c>
      <c r="AG472" s="112">
        <f t="shared" si="527"/>
        <v>25767.35</v>
      </c>
      <c r="AH472" s="112">
        <f t="shared" si="528"/>
        <v>30412.89</v>
      </c>
      <c r="AI472" s="112">
        <f t="shared" si="529"/>
        <v>34824.592000000004</v>
      </c>
      <c r="AJ472" s="112">
        <f t="shared" si="530"/>
        <v>35942.928</v>
      </c>
      <c r="AK472" s="112">
        <f t="shared" si="541"/>
        <v>14914.88</v>
      </c>
      <c r="AL472" s="112">
        <f t="shared" si="542"/>
        <v>13809.845999999998</v>
      </c>
      <c r="AN472" s="111" t="s">
        <v>54</v>
      </c>
      <c r="AO472" s="113">
        <f t="shared" ref="AO472:AW472" si="574">H472/H471</f>
        <v>0.29697633703822945</v>
      </c>
      <c r="AP472" s="113">
        <f t="shared" si="574"/>
        <v>0.24643407290475544</v>
      </c>
      <c r="AQ472" s="113">
        <f t="shared" si="574"/>
        <v>0.25493340121099473</v>
      </c>
      <c r="AR472" s="113">
        <f t="shared" si="574"/>
        <v>0.25086756335325161</v>
      </c>
      <c r="AS472" s="113">
        <f t="shared" si="574"/>
        <v>0.26516718078287177</v>
      </c>
      <c r="AT472" s="113">
        <f t="shared" si="574"/>
        <v>0.24537245727742438</v>
      </c>
      <c r="AU472" s="113">
        <f t="shared" si="574"/>
        <v>0.2289507041386864</v>
      </c>
      <c r="AV472" s="113">
        <f t="shared" si="574"/>
        <v>0.20996983955725643</v>
      </c>
      <c r="AW472" s="113">
        <f t="shared" si="574"/>
        <v>0.20104523140141997</v>
      </c>
      <c r="AY472" s="111" t="s">
        <v>54</v>
      </c>
      <c r="AZ472" s="179">
        <f t="shared" si="532"/>
        <v>6.5334794148410478E-3</v>
      </c>
      <c r="BA472" s="179">
        <f t="shared" si="533"/>
        <v>5.9144177497141301E-3</v>
      </c>
      <c r="BB472" s="179">
        <f t="shared" si="534"/>
        <v>1.7845338084769631E-2</v>
      </c>
      <c r="BC472" s="179">
        <f t="shared" si="535"/>
        <v>1.7560729434727612E-2</v>
      </c>
      <c r="BD472" s="179">
        <f t="shared" si="536"/>
        <v>1.9622371377932511E-2</v>
      </c>
      <c r="BE472" s="179">
        <f t="shared" si="537"/>
        <v>2.1592776240413347E-2</v>
      </c>
      <c r="BF472" s="179">
        <f t="shared" si="538"/>
        <v>2.1063464780759145E-2</v>
      </c>
      <c r="BG472" s="179">
        <f t="shared" si="539"/>
        <v>8.3987935822902576E-3</v>
      </c>
      <c r="BH472" s="179">
        <f t="shared" si="540"/>
        <v>7.6397187932539593E-3</v>
      </c>
    </row>
    <row r="473" spans="2:68" s="108" customFormat="1" x14ac:dyDescent="0.25">
      <c r="B473" s="107"/>
      <c r="E473" s="109" t="s">
        <v>4</v>
      </c>
      <c r="F473" s="110" t="s">
        <v>75</v>
      </c>
      <c r="G473" s="111" t="s">
        <v>55</v>
      </c>
      <c r="H473" s="70">
        <v>307920</v>
      </c>
      <c r="I473" s="70">
        <v>366189</v>
      </c>
      <c r="J473" s="70">
        <v>342980</v>
      </c>
      <c r="K473" s="70">
        <v>377574</v>
      </c>
      <c r="L473" s="70">
        <v>385711</v>
      </c>
      <c r="M473" s="112">
        <v>388497</v>
      </c>
      <c r="N473" s="112">
        <v>410948</v>
      </c>
      <c r="O473" s="112">
        <v>436669</v>
      </c>
      <c r="P473" s="112">
        <v>453604</v>
      </c>
      <c r="R473" s="111" t="s">
        <v>55</v>
      </c>
      <c r="S473" s="81">
        <v>1.1000000000000001</v>
      </c>
      <c r="T473" s="81">
        <v>1.2</v>
      </c>
      <c r="U473" s="81">
        <v>3.5</v>
      </c>
      <c r="V473" s="81">
        <v>3.5</v>
      </c>
      <c r="W473" s="81">
        <v>4.2</v>
      </c>
      <c r="X473" s="81">
        <v>4.4000000000000004</v>
      </c>
      <c r="Y473" s="81">
        <v>4.3</v>
      </c>
      <c r="Z473" s="81">
        <v>1.3</v>
      </c>
      <c r="AA473" s="81">
        <v>1.2</v>
      </c>
      <c r="AC473" s="111" t="s">
        <v>55</v>
      </c>
      <c r="AD473" s="70">
        <f t="shared" si="544"/>
        <v>6774.24</v>
      </c>
      <c r="AE473" s="70">
        <f t="shared" si="525"/>
        <v>8788.5360000000001</v>
      </c>
      <c r="AF473" s="70">
        <f t="shared" si="526"/>
        <v>24008.6</v>
      </c>
      <c r="AG473" s="70">
        <f t="shared" si="527"/>
        <v>26430.18</v>
      </c>
      <c r="AH473" s="70">
        <f t="shared" si="528"/>
        <v>32399.723999999998</v>
      </c>
      <c r="AI473" s="70">
        <f t="shared" si="529"/>
        <v>34187.736000000004</v>
      </c>
      <c r="AJ473" s="70">
        <f t="shared" si="530"/>
        <v>35341.527999999998</v>
      </c>
      <c r="AK473" s="70">
        <f t="shared" si="541"/>
        <v>11353.394000000002</v>
      </c>
      <c r="AL473" s="70">
        <f t="shared" si="542"/>
        <v>10886.495999999999</v>
      </c>
      <c r="AN473" s="111" t="s">
        <v>55</v>
      </c>
      <c r="AO473" s="113">
        <f t="shared" ref="AO473:AW473" si="575">H473/H471</f>
        <v>0.24660865052401937</v>
      </c>
      <c r="AP473" s="113">
        <f t="shared" si="575"/>
        <v>0.27952547941357425</v>
      </c>
      <c r="AQ473" s="113">
        <f t="shared" si="575"/>
        <v>0.25378648578453827</v>
      </c>
      <c r="AR473" s="113">
        <f t="shared" si="575"/>
        <v>0.25732078989837309</v>
      </c>
      <c r="AS473" s="113">
        <f t="shared" si="575"/>
        <v>0.24886041696641545</v>
      </c>
      <c r="AT473" s="113">
        <f t="shared" si="575"/>
        <v>0.24088519948982787</v>
      </c>
      <c r="AU473" s="113">
        <f t="shared" si="575"/>
        <v>0.24082592060177765</v>
      </c>
      <c r="AV473" s="113">
        <f t="shared" si="575"/>
        <v>0.24589489119490765</v>
      </c>
      <c r="AW473" s="113">
        <f t="shared" si="575"/>
        <v>0.25093741114094748</v>
      </c>
      <c r="AY473" s="111" t="s">
        <v>55</v>
      </c>
      <c r="AZ473" s="179">
        <f t="shared" si="532"/>
        <v>5.4253903115284267E-3</v>
      </c>
      <c r="BA473" s="179">
        <f t="shared" si="533"/>
        <v>6.7086115059257819E-3</v>
      </c>
      <c r="BB473" s="179">
        <f t="shared" si="534"/>
        <v>1.776505400491768E-2</v>
      </c>
      <c r="BC473" s="179">
        <f t="shared" si="535"/>
        <v>1.8012455292886115E-2</v>
      </c>
      <c r="BD473" s="179">
        <f t="shared" si="536"/>
        <v>2.0904275025178901E-2</v>
      </c>
      <c r="BE473" s="179">
        <f t="shared" si="537"/>
        <v>2.1197897555104851E-2</v>
      </c>
      <c r="BF473" s="179">
        <f t="shared" si="538"/>
        <v>2.0711029171752878E-2</v>
      </c>
      <c r="BG473" s="179">
        <f t="shared" si="539"/>
        <v>6.3932671710675995E-3</v>
      </c>
      <c r="BH473" s="179">
        <f t="shared" si="540"/>
        <v>6.0224978673827393E-3</v>
      </c>
    </row>
    <row r="474" spans="2:68" s="108" customFormat="1" x14ac:dyDescent="0.25">
      <c r="B474" s="107"/>
      <c r="E474" s="109" t="s">
        <v>4</v>
      </c>
      <c r="F474" s="110" t="s">
        <v>75</v>
      </c>
      <c r="G474" s="111" t="s">
        <v>130</v>
      </c>
      <c r="H474" s="70">
        <v>167513</v>
      </c>
      <c r="I474" s="70">
        <v>182940</v>
      </c>
      <c r="J474" s="70">
        <v>179837</v>
      </c>
      <c r="K474" s="70">
        <v>177506</v>
      </c>
      <c r="L474" s="70">
        <v>183119</v>
      </c>
      <c r="M474" s="70">
        <v>226884</v>
      </c>
      <c r="N474" s="70">
        <v>230703</v>
      </c>
      <c r="O474" s="112">
        <v>273879</v>
      </c>
      <c r="P474" s="112">
        <v>239251</v>
      </c>
      <c r="R474" s="111" t="s">
        <v>130</v>
      </c>
      <c r="S474" s="220">
        <v>1.7</v>
      </c>
      <c r="T474" s="220">
        <v>1.8</v>
      </c>
      <c r="U474" s="220">
        <v>4.9000000000000004</v>
      </c>
      <c r="V474" s="220">
        <v>5.7</v>
      </c>
      <c r="W474" s="220">
        <v>6.6</v>
      </c>
      <c r="X474" s="220">
        <v>4.7</v>
      </c>
      <c r="Y474" s="220">
        <v>6.4</v>
      </c>
      <c r="Z474" s="220">
        <v>2</v>
      </c>
      <c r="AA474" s="220">
        <v>1.9</v>
      </c>
      <c r="AC474" s="111" t="s">
        <v>130</v>
      </c>
      <c r="AD474" s="70">
        <f t="shared" si="544"/>
        <v>5695.4419999999991</v>
      </c>
      <c r="AE474" s="70">
        <f t="shared" si="525"/>
        <v>6585.84</v>
      </c>
      <c r="AF474" s="70">
        <f t="shared" si="526"/>
        <v>17624.026000000002</v>
      </c>
      <c r="AG474" s="70">
        <f t="shared" si="527"/>
        <v>20235.684000000001</v>
      </c>
      <c r="AH474" s="70">
        <f t="shared" si="528"/>
        <v>24171.707999999999</v>
      </c>
      <c r="AI474" s="70">
        <f t="shared" si="529"/>
        <v>21327.096000000001</v>
      </c>
      <c r="AJ474" s="70">
        <f t="shared" si="530"/>
        <v>29529.984000000004</v>
      </c>
      <c r="AK474" s="70">
        <f t="shared" si="541"/>
        <v>10955.16</v>
      </c>
      <c r="AL474" s="70">
        <f t="shared" si="542"/>
        <v>9091.5379999999986</v>
      </c>
      <c r="AN474" s="111" t="s">
        <v>130</v>
      </c>
      <c r="AO474" s="113">
        <f t="shared" ref="AO474:AW474" si="576">H474/H471</f>
        <v>0.13415872588734104</v>
      </c>
      <c r="AP474" s="113">
        <f t="shared" si="576"/>
        <v>0.13964480419651948</v>
      </c>
      <c r="AQ474" s="113">
        <f t="shared" si="576"/>
        <v>0.13306956745009624</v>
      </c>
      <c r="AR474" s="113">
        <f t="shared" si="576"/>
        <v>0.12097227068521831</v>
      </c>
      <c r="AS474" s="113">
        <f t="shared" si="576"/>
        <v>0.11814822676686179</v>
      </c>
      <c r="AT474" s="113">
        <f t="shared" si="576"/>
        <v>0.14067804281899243</v>
      </c>
      <c r="AU474" s="113">
        <f t="shared" si="576"/>
        <v>0.13519779232553</v>
      </c>
      <c r="AV474" s="113">
        <f t="shared" si="576"/>
        <v>0.15422539018242676</v>
      </c>
      <c r="AW474" s="113">
        <f t="shared" si="576"/>
        <v>0.13235559332122915</v>
      </c>
      <c r="AY474" s="111" t="s">
        <v>130</v>
      </c>
      <c r="AZ474" s="179">
        <f t="shared" si="532"/>
        <v>4.5613966801695957E-3</v>
      </c>
      <c r="BA474" s="179">
        <f t="shared" si="533"/>
        <v>5.0272129510747013E-3</v>
      </c>
      <c r="BB474" s="179">
        <f t="shared" si="534"/>
        <v>1.3040817610109431E-2</v>
      </c>
      <c r="BC474" s="179">
        <f t="shared" si="535"/>
        <v>1.3790838858114886E-2</v>
      </c>
      <c r="BD474" s="179">
        <f t="shared" si="536"/>
        <v>1.5595565933225754E-2</v>
      </c>
      <c r="BE474" s="179">
        <f t="shared" si="537"/>
        <v>1.3223736024985288E-2</v>
      </c>
      <c r="BF474" s="179">
        <f t="shared" si="538"/>
        <v>1.7305317417667842E-2</v>
      </c>
      <c r="BG474" s="179">
        <f t="shared" si="539"/>
        <v>6.1690156072970702E-3</v>
      </c>
      <c r="BH474" s="179">
        <f t="shared" si="540"/>
        <v>5.0295125462067073E-3</v>
      </c>
    </row>
    <row r="475" spans="2:68" s="108" customFormat="1" x14ac:dyDescent="0.25">
      <c r="B475" s="107"/>
      <c r="E475" s="109" t="s">
        <v>4</v>
      </c>
      <c r="F475" s="110" t="s">
        <v>75</v>
      </c>
      <c r="G475" s="111" t="s">
        <v>131</v>
      </c>
      <c r="H475" s="112">
        <v>395865</v>
      </c>
      <c r="I475" s="112">
        <v>427888</v>
      </c>
      <c r="J475" s="112">
        <v>478202</v>
      </c>
      <c r="K475" s="112">
        <v>536506</v>
      </c>
      <c r="L475" s="112">
        <v>563250</v>
      </c>
      <c r="M475" s="112">
        <v>594590</v>
      </c>
      <c r="N475" s="112">
        <v>668566</v>
      </c>
      <c r="O475" s="112">
        <v>692416</v>
      </c>
      <c r="P475" s="112">
        <v>751366</v>
      </c>
      <c r="R475" s="111" t="s">
        <v>131</v>
      </c>
      <c r="S475" s="220">
        <v>1</v>
      </c>
      <c r="T475" s="220">
        <v>1</v>
      </c>
      <c r="U475" s="220">
        <v>2.9</v>
      </c>
      <c r="V475" s="220">
        <v>2.7</v>
      </c>
      <c r="W475" s="220">
        <v>2.5</v>
      </c>
      <c r="X475" s="220">
        <v>3.5</v>
      </c>
      <c r="Y475" s="220">
        <v>2.8</v>
      </c>
      <c r="Z475" s="220">
        <v>1.2</v>
      </c>
      <c r="AA475" s="220">
        <v>0.9</v>
      </c>
      <c r="AC475" s="111" t="s">
        <v>131</v>
      </c>
      <c r="AD475" s="112">
        <f t="shared" si="544"/>
        <v>7917.3</v>
      </c>
      <c r="AE475" s="112">
        <f t="shared" si="525"/>
        <v>8557.76</v>
      </c>
      <c r="AF475" s="112">
        <f t="shared" si="526"/>
        <v>27735.716</v>
      </c>
      <c r="AG475" s="112">
        <f t="shared" si="527"/>
        <v>28971.324000000004</v>
      </c>
      <c r="AH475" s="112">
        <f t="shared" si="528"/>
        <v>28162.5</v>
      </c>
      <c r="AI475" s="112">
        <f t="shared" si="529"/>
        <v>41621.300000000003</v>
      </c>
      <c r="AJ475" s="112">
        <f t="shared" si="530"/>
        <v>37439.695999999996</v>
      </c>
      <c r="AK475" s="112">
        <f t="shared" si="541"/>
        <v>16617.984</v>
      </c>
      <c r="AL475" s="112">
        <f t="shared" si="542"/>
        <v>13524.588</v>
      </c>
      <c r="AN475" s="111" t="s">
        <v>131</v>
      </c>
      <c r="AO475" s="113">
        <f t="shared" ref="AO475:AW475" si="577">H475/H471</f>
        <v>0.31704252221255819</v>
      </c>
      <c r="AP475" s="113">
        <f t="shared" si="577"/>
        <v>0.326622586520391</v>
      </c>
      <c r="AQ475" s="113">
        <f t="shared" si="577"/>
        <v>0.35384338758859923</v>
      </c>
      <c r="AR475" s="113">
        <f t="shared" si="577"/>
        <v>0.3656346774545296</v>
      </c>
      <c r="AS475" s="113">
        <f t="shared" si="577"/>
        <v>0.36340843236602921</v>
      </c>
      <c r="AT475" s="113">
        <f t="shared" si="577"/>
        <v>0.3686719093446198</v>
      </c>
      <c r="AU475" s="113">
        <f t="shared" si="577"/>
        <v>0.39179658358976821</v>
      </c>
      <c r="AV475" s="113">
        <f t="shared" si="577"/>
        <v>0.38990987906540919</v>
      </c>
      <c r="AW475" s="113">
        <f t="shared" si="577"/>
        <v>0.41566176413640343</v>
      </c>
      <c r="AY475" s="111" t="s">
        <v>131</v>
      </c>
      <c r="AZ475" s="179">
        <f t="shared" si="532"/>
        <v>6.3408504442511639E-3</v>
      </c>
      <c r="BA475" s="179">
        <f t="shared" si="533"/>
        <v>6.53245173040782E-3</v>
      </c>
      <c r="BB475" s="179">
        <f t="shared" si="534"/>
        <v>2.0522916480138754E-2</v>
      </c>
      <c r="BC475" s="179">
        <f t="shared" si="535"/>
        <v>1.97442725825446E-2</v>
      </c>
      <c r="BD475" s="179">
        <f t="shared" si="536"/>
        <v>1.8170421618301461E-2</v>
      </c>
      <c r="BE475" s="179">
        <f t="shared" si="537"/>
        <v>2.5807033654123384E-2</v>
      </c>
      <c r="BF475" s="179">
        <f t="shared" si="538"/>
        <v>2.1940608681027016E-2</v>
      </c>
      <c r="BG475" s="179">
        <f t="shared" si="539"/>
        <v>9.3578370975698193E-3</v>
      </c>
      <c r="BH475" s="179">
        <f t="shared" si="540"/>
        <v>7.4819117544552612E-3</v>
      </c>
    </row>
    <row r="476" spans="2:68" s="87" customFormat="1" x14ac:dyDescent="0.25">
      <c r="B476" s="84"/>
      <c r="C476" s="85"/>
      <c r="D476" s="85"/>
      <c r="E476" s="109" t="s">
        <v>5</v>
      </c>
      <c r="F476" s="110" t="s">
        <v>75</v>
      </c>
      <c r="G476" s="195" t="s">
        <v>7</v>
      </c>
      <c r="H476" s="69">
        <v>1232951</v>
      </c>
      <c r="I476" s="69">
        <v>1294172</v>
      </c>
      <c r="J476" s="69">
        <v>1334668</v>
      </c>
      <c r="K476" s="69">
        <v>1431938</v>
      </c>
      <c r="L476" s="69">
        <v>1492708</v>
      </c>
      <c r="M476" s="69">
        <v>1554033</v>
      </c>
      <c r="N476" s="69">
        <v>1652269</v>
      </c>
      <c r="O476" s="69">
        <v>1720827</v>
      </c>
      <c r="P476" s="69">
        <v>1770852</v>
      </c>
      <c r="R476" s="195" t="s">
        <v>7</v>
      </c>
      <c r="S476" s="226">
        <v>0.2</v>
      </c>
      <c r="T476" s="226">
        <v>0.7</v>
      </c>
      <c r="U476" s="226">
        <v>0.2</v>
      </c>
      <c r="V476" s="226">
        <v>0.6</v>
      </c>
      <c r="W476" s="226">
        <v>0.7</v>
      </c>
      <c r="X476" s="226">
        <v>0.8</v>
      </c>
      <c r="Y476" s="226">
        <v>0.2</v>
      </c>
      <c r="Z476" s="226">
        <v>0.2</v>
      </c>
      <c r="AA476" s="226">
        <v>0.2</v>
      </c>
      <c r="AC476" s="195" t="s">
        <v>7</v>
      </c>
      <c r="AD476" s="69">
        <f t="shared" si="544"/>
        <v>4931.8040000000001</v>
      </c>
      <c r="AE476" s="69">
        <f t="shared" si="525"/>
        <v>18118.407999999999</v>
      </c>
      <c r="AF476" s="69">
        <f t="shared" si="526"/>
        <v>5338.6720000000005</v>
      </c>
      <c r="AG476" s="69">
        <f t="shared" si="527"/>
        <v>17183.255999999998</v>
      </c>
      <c r="AH476" s="69">
        <f t="shared" si="528"/>
        <v>20897.912</v>
      </c>
      <c r="AI476" s="69">
        <f t="shared" si="529"/>
        <v>24864.528000000002</v>
      </c>
      <c r="AJ476" s="69">
        <f t="shared" si="530"/>
        <v>6609.0760000000009</v>
      </c>
      <c r="AK476" s="69">
        <f t="shared" si="541"/>
        <v>6883.3080000000009</v>
      </c>
      <c r="AL476" s="69">
        <f t="shared" si="542"/>
        <v>7083.4080000000004</v>
      </c>
      <c r="AN476" s="195" t="s">
        <v>7</v>
      </c>
      <c r="AO476" s="98">
        <f t="shared" ref="AO476:AW476" si="578">H476/H476</f>
        <v>1</v>
      </c>
      <c r="AP476" s="98">
        <f t="shared" si="578"/>
        <v>1</v>
      </c>
      <c r="AQ476" s="98">
        <f t="shared" si="578"/>
        <v>1</v>
      </c>
      <c r="AR476" s="98">
        <f t="shared" si="578"/>
        <v>1</v>
      </c>
      <c r="AS476" s="98">
        <f t="shared" si="578"/>
        <v>1</v>
      </c>
      <c r="AT476" s="98">
        <f t="shared" si="578"/>
        <v>1</v>
      </c>
      <c r="AU476" s="98">
        <f t="shared" si="578"/>
        <v>1</v>
      </c>
      <c r="AV476" s="98">
        <f t="shared" si="578"/>
        <v>1</v>
      </c>
      <c r="AW476" s="98">
        <f t="shared" si="578"/>
        <v>1</v>
      </c>
      <c r="AX476" s="191"/>
      <c r="AY476" s="195" t="s">
        <v>7</v>
      </c>
      <c r="AZ476" s="178">
        <f t="shared" si="532"/>
        <v>4.0000000000000001E-3</v>
      </c>
      <c r="BA476" s="178">
        <f t="shared" si="533"/>
        <v>1.3999999999999999E-2</v>
      </c>
      <c r="BB476" s="178">
        <f t="shared" si="534"/>
        <v>4.0000000000000001E-3</v>
      </c>
      <c r="BC476" s="178">
        <f t="shared" si="535"/>
        <v>1.2E-2</v>
      </c>
      <c r="BD476" s="178">
        <f t="shared" si="536"/>
        <v>1.3999999999999999E-2</v>
      </c>
      <c r="BE476" s="178">
        <f t="shared" si="537"/>
        <v>1.6E-2</v>
      </c>
      <c r="BF476" s="178">
        <f t="shared" si="538"/>
        <v>4.0000000000000001E-3</v>
      </c>
      <c r="BG476" s="178">
        <f t="shared" si="539"/>
        <v>4.0000000000000001E-3</v>
      </c>
      <c r="BH476" s="178">
        <f t="shared" si="540"/>
        <v>4.0000000000000001E-3</v>
      </c>
      <c r="BI476" s="191"/>
      <c r="BJ476" s="191"/>
      <c r="BK476" s="191"/>
      <c r="BL476" s="191"/>
      <c r="BM476" s="191"/>
      <c r="BN476" s="191"/>
      <c r="BO476" s="191"/>
      <c r="BP476" s="191"/>
    </row>
    <row r="477" spans="2:68" s="108" customFormat="1" x14ac:dyDescent="0.25">
      <c r="B477" s="107"/>
      <c r="E477" s="109" t="s">
        <v>5</v>
      </c>
      <c r="F477" s="110" t="s">
        <v>75</v>
      </c>
      <c r="G477" s="111" t="s">
        <v>54</v>
      </c>
      <c r="H477" s="112">
        <v>314561</v>
      </c>
      <c r="I477" s="112">
        <v>272570</v>
      </c>
      <c r="J477" s="112">
        <v>266524</v>
      </c>
      <c r="K477" s="112">
        <v>276970</v>
      </c>
      <c r="L477" s="112">
        <v>286665</v>
      </c>
      <c r="M477" s="112">
        <v>286815</v>
      </c>
      <c r="N477" s="112">
        <v>267588</v>
      </c>
      <c r="O477" s="112">
        <v>269175</v>
      </c>
      <c r="P477" s="112">
        <v>223279</v>
      </c>
      <c r="R477" s="111" t="s">
        <v>54</v>
      </c>
      <c r="S477" s="220">
        <v>1.1000000000000001</v>
      </c>
      <c r="T477" s="220">
        <v>1.6</v>
      </c>
      <c r="U477" s="220">
        <v>4</v>
      </c>
      <c r="V477" s="220">
        <v>4.4000000000000004</v>
      </c>
      <c r="W477" s="220">
        <v>5</v>
      </c>
      <c r="X477" s="220">
        <v>5.6</v>
      </c>
      <c r="Y477" s="220">
        <v>5.6</v>
      </c>
      <c r="Z477" s="220">
        <v>2</v>
      </c>
      <c r="AA477" s="220">
        <v>1.9</v>
      </c>
      <c r="AC477" s="111" t="s">
        <v>54</v>
      </c>
      <c r="AD477" s="112">
        <f t="shared" si="544"/>
        <v>6920.3420000000006</v>
      </c>
      <c r="AE477" s="112">
        <f t="shared" si="525"/>
        <v>8722.24</v>
      </c>
      <c r="AF477" s="112">
        <f t="shared" si="526"/>
        <v>21321.919999999998</v>
      </c>
      <c r="AG477" s="112">
        <f t="shared" si="527"/>
        <v>24373.360000000001</v>
      </c>
      <c r="AH477" s="112">
        <f t="shared" si="528"/>
        <v>28666.5</v>
      </c>
      <c r="AI477" s="112">
        <f t="shared" si="529"/>
        <v>32123.279999999999</v>
      </c>
      <c r="AJ477" s="112">
        <f t="shared" si="530"/>
        <v>29969.855999999996</v>
      </c>
      <c r="AK477" s="112">
        <f t="shared" si="541"/>
        <v>10767</v>
      </c>
      <c r="AL477" s="112">
        <f t="shared" si="542"/>
        <v>8484.601999999999</v>
      </c>
      <c r="AN477" s="111" t="s">
        <v>54</v>
      </c>
      <c r="AO477" s="113">
        <f t="shared" ref="AO477:AW477" si="579">H477/H476</f>
        <v>0.25512854930974549</v>
      </c>
      <c r="AP477" s="113">
        <f t="shared" si="579"/>
        <v>0.21061342696334026</v>
      </c>
      <c r="AQ477" s="113">
        <f t="shared" si="579"/>
        <v>0.1996931071996931</v>
      </c>
      <c r="AR477" s="113">
        <f t="shared" si="579"/>
        <v>0.1934231789365182</v>
      </c>
      <c r="AS477" s="113">
        <f t="shared" si="579"/>
        <v>0.1920435878952883</v>
      </c>
      <c r="AT477" s="113">
        <f t="shared" si="579"/>
        <v>0.18456171780135944</v>
      </c>
      <c r="AU477" s="113">
        <f t="shared" si="579"/>
        <v>0.16195183714032038</v>
      </c>
      <c r="AV477" s="113">
        <f t="shared" si="579"/>
        <v>0.15642188319918271</v>
      </c>
      <c r="AW477" s="113">
        <f t="shared" si="579"/>
        <v>0.12608563561494693</v>
      </c>
      <c r="AY477" s="111" t="s">
        <v>54</v>
      </c>
      <c r="AZ477" s="179">
        <f t="shared" si="532"/>
        <v>5.6128280848144006E-3</v>
      </c>
      <c r="BA477" s="179">
        <f t="shared" si="533"/>
        <v>6.7396296628268893E-3</v>
      </c>
      <c r="BB477" s="179">
        <f t="shared" si="534"/>
        <v>1.5975448575975448E-2</v>
      </c>
      <c r="BC477" s="179">
        <f t="shared" si="535"/>
        <v>1.7021239746413605E-2</v>
      </c>
      <c r="BD477" s="179">
        <f t="shared" si="536"/>
        <v>1.9204358789528829E-2</v>
      </c>
      <c r="BE477" s="179">
        <f t="shared" si="537"/>
        <v>2.0670912393752253E-2</v>
      </c>
      <c r="BF477" s="179">
        <f t="shared" si="538"/>
        <v>1.8138605759715883E-2</v>
      </c>
      <c r="BG477" s="179">
        <f t="shared" si="539"/>
        <v>6.2568753279673081E-3</v>
      </c>
      <c r="BH477" s="179">
        <f t="shared" si="540"/>
        <v>4.7912541533679832E-3</v>
      </c>
    </row>
    <row r="478" spans="2:68" s="108" customFormat="1" x14ac:dyDescent="0.25">
      <c r="B478" s="107"/>
      <c r="E478" s="109" t="s">
        <v>5</v>
      </c>
      <c r="F478" s="110" t="s">
        <v>75</v>
      </c>
      <c r="G478" s="111" t="s">
        <v>55</v>
      </c>
      <c r="H478" s="70">
        <v>250175</v>
      </c>
      <c r="I478" s="70">
        <v>287364</v>
      </c>
      <c r="J478" s="70">
        <v>301906</v>
      </c>
      <c r="K478" s="70">
        <v>313902</v>
      </c>
      <c r="L478" s="70">
        <v>304349</v>
      </c>
      <c r="M478" s="112">
        <v>307515</v>
      </c>
      <c r="N478" s="112">
        <v>354537</v>
      </c>
      <c r="O478" s="112">
        <v>356884</v>
      </c>
      <c r="P478" s="112">
        <v>353926</v>
      </c>
      <c r="R478" s="111" t="s">
        <v>55</v>
      </c>
      <c r="S478" s="81">
        <v>1.4</v>
      </c>
      <c r="T478" s="81">
        <v>1.2</v>
      </c>
      <c r="U478" s="81">
        <v>3.7</v>
      </c>
      <c r="V478" s="81">
        <v>3.5</v>
      </c>
      <c r="W478" s="81">
        <v>4.4000000000000004</v>
      </c>
      <c r="X478" s="81">
        <v>4.5999999999999996</v>
      </c>
      <c r="Y478" s="81">
        <v>4.5999999999999996</v>
      </c>
      <c r="Z478" s="81">
        <v>1.6</v>
      </c>
      <c r="AA478" s="81">
        <v>1.4</v>
      </c>
      <c r="AC478" s="111" t="s">
        <v>55</v>
      </c>
      <c r="AD478" s="70">
        <f t="shared" si="544"/>
        <v>7004.9</v>
      </c>
      <c r="AE478" s="70">
        <f t="shared" si="525"/>
        <v>6896.7359999999999</v>
      </c>
      <c r="AF478" s="70">
        <f t="shared" si="526"/>
        <v>22341.043999999998</v>
      </c>
      <c r="AG478" s="70">
        <f t="shared" si="527"/>
        <v>21973.14</v>
      </c>
      <c r="AH478" s="70">
        <f t="shared" si="528"/>
        <v>26782.712000000003</v>
      </c>
      <c r="AI478" s="70">
        <f t="shared" si="529"/>
        <v>28291.38</v>
      </c>
      <c r="AJ478" s="70">
        <f t="shared" si="530"/>
        <v>32617.403999999999</v>
      </c>
      <c r="AK478" s="70">
        <f t="shared" si="541"/>
        <v>11420.288</v>
      </c>
      <c r="AL478" s="70">
        <f t="shared" si="542"/>
        <v>9909.9279999999999</v>
      </c>
      <c r="AN478" s="111" t="s">
        <v>55</v>
      </c>
      <c r="AO478" s="113">
        <f t="shared" ref="AO478:AW478" si="580">H478/H476</f>
        <v>0.20290749591832927</v>
      </c>
      <c r="AP478" s="113">
        <f t="shared" si="580"/>
        <v>0.22204467412368681</v>
      </c>
      <c r="AQ478" s="113">
        <f t="shared" si="580"/>
        <v>0.22620307072620308</v>
      </c>
      <c r="AR478" s="113">
        <f t="shared" si="580"/>
        <v>0.21921479840607624</v>
      </c>
      <c r="AS478" s="113">
        <f t="shared" si="580"/>
        <v>0.20389051308092407</v>
      </c>
      <c r="AT478" s="113">
        <f t="shared" si="580"/>
        <v>0.19788189826084773</v>
      </c>
      <c r="AU478" s="113">
        <f t="shared" si="580"/>
        <v>0.21457583480655995</v>
      </c>
      <c r="AV478" s="113">
        <f t="shared" si="580"/>
        <v>0.20739098119683153</v>
      </c>
      <c r="AW478" s="113">
        <f t="shared" si="580"/>
        <v>0.19986198733716878</v>
      </c>
      <c r="AY478" s="111" t="s">
        <v>55</v>
      </c>
      <c r="AZ478" s="179">
        <f t="shared" si="532"/>
        <v>5.681409885713219E-3</v>
      </c>
      <c r="BA478" s="179">
        <f t="shared" si="533"/>
        <v>5.3290721789684839E-3</v>
      </c>
      <c r="BB478" s="179">
        <f t="shared" si="534"/>
        <v>1.6739027233739028E-2</v>
      </c>
      <c r="BC478" s="179">
        <f t="shared" si="535"/>
        <v>1.5345035888425338E-2</v>
      </c>
      <c r="BD478" s="179">
        <f t="shared" si="536"/>
        <v>1.7942365151121319E-2</v>
      </c>
      <c r="BE478" s="179">
        <f t="shared" si="537"/>
        <v>1.820513463999799E-2</v>
      </c>
      <c r="BF478" s="179">
        <f t="shared" si="538"/>
        <v>1.9740976802203512E-2</v>
      </c>
      <c r="BG478" s="179">
        <f t="shared" si="539"/>
        <v>6.6365113982986088E-3</v>
      </c>
      <c r="BH478" s="179">
        <f t="shared" si="540"/>
        <v>5.5961356454407255E-3</v>
      </c>
    </row>
    <row r="479" spans="2:68" s="108" customFormat="1" x14ac:dyDescent="0.25">
      <c r="B479" s="107"/>
      <c r="E479" s="109" t="s">
        <v>5</v>
      </c>
      <c r="F479" s="110" t="s">
        <v>75</v>
      </c>
      <c r="G479" s="111" t="s">
        <v>130</v>
      </c>
      <c r="H479" s="70">
        <v>146530</v>
      </c>
      <c r="I479" s="70">
        <v>162713</v>
      </c>
      <c r="J479" s="70">
        <v>151815</v>
      </c>
      <c r="K479" s="70">
        <v>157046</v>
      </c>
      <c r="L479" s="70">
        <v>171864</v>
      </c>
      <c r="M479" s="70">
        <v>176813</v>
      </c>
      <c r="N479" s="70">
        <v>180479</v>
      </c>
      <c r="O479" s="112">
        <v>201420</v>
      </c>
      <c r="P479" s="112">
        <v>213704</v>
      </c>
      <c r="R479" s="111" t="s">
        <v>130</v>
      </c>
      <c r="S479" s="220">
        <v>1.7</v>
      </c>
      <c r="T479" s="220">
        <v>1.8</v>
      </c>
      <c r="U479" s="220">
        <v>5.6</v>
      </c>
      <c r="V479" s="220">
        <v>5.7</v>
      </c>
      <c r="W479" s="220">
        <v>6.6</v>
      </c>
      <c r="X479" s="220">
        <v>6.4</v>
      </c>
      <c r="Y479" s="220">
        <v>7.6</v>
      </c>
      <c r="Z479" s="220">
        <v>2.2999999999999998</v>
      </c>
      <c r="AA479" s="220">
        <v>2.1</v>
      </c>
      <c r="AC479" s="111" t="s">
        <v>130</v>
      </c>
      <c r="AD479" s="70">
        <f t="shared" si="544"/>
        <v>4982.0200000000004</v>
      </c>
      <c r="AE479" s="70">
        <f t="shared" si="525"/>
        <v>5857.6680000000006</v>
      </c>
      <c r="AF479" s="70">
        <f t="shared" si="526"/>
        <v>17003.28</v>
      </c>
      <c r="AG479" s="70">
        <f t="shared" si="527"/>
        <v>17903.244000000002</v>
      </c>
      <c r="AH479" s="70">
        <f t="shared" si="528"/>
        <v>22686.047999999999</v>
      </c>
      <c r="AI479" s="70">
        <f t="shared" si="529"/>
        <v>22632.063999999998</v>
      </c>
      <c r="AJ479" s="70">
        <f t="shared" si="530"/>
        <v>27432.807999999997</v>
      </c>
      <c r="AK479" s="70">
        <f t="shared" si="541"/>
        <v>9265.32</v>
      </c>
      <c r="AL479" s="70">
        <f t="shared" si="542"/>
        <v>8975.5680000000011</v>
      </c>
      <c r="AN479" s="111" t="s">
        <v>130</v>
      </c>
      <c r="AO479" s="113">
        <f t="shared" ref="AO479:AW479" si="581">H479/H476</f>
        <v>0.11884495004262131</v>
      </c>
      <c r="AP479" s="113">
        <f t="shared" si="581"/>
        <v>0.12572749217260148</v>
      </c>
      <c r="AQ479" s="113">
        <f t="shared" si="581"/>
        <v>0.11374738886374738</v>
      </c>
      <c r="AR479" s="113">
        <f t="shared" si="581"/>
        <v>0.10967374285758183</v>
      </c>
      <c r="AS479" s="113">
        <f t="shared" si="581"/>
        <v>0.11513571307985219</v>
      </c>
      <c r="AT479" s="113">
        <f t="shared" si="581"/>
        <v>0.11377686316828536</v>
      </c>
      <c r="AU479" s="113">
        <f t="shared" si="581"/>
        <v>0.10923100294201489</v>
      </c>
      <c r="AV479" s="113">
        <f t="shared" si="581"/>
        <v>0.1170483726719769</v>
      </c>
      <c r="AW479" s="113">
        <f t="shared" si="581"/>
        <v>0.12067863378757795</v>
      </c>
      <c r="AY479" s="111" t="s">
        <v>130</v>
      </c>
      <c r="AZ479" s="179">
        <f t="shared" si="532"/>
        <v>4.0407283014491247E-3</v>
      </c>
      <c r="BA479" s="179">
        <f t="shared" si="533"/>
        <v>4.5261897182136534E-3</v>
      </c>
      <c r="BB479" s="179">
        <f t="shared" si="534"/>
        <v>1.2739707552739706E-2</v>
      </c>
      <c r="BC479" s="179">
        <f t="shared" si="535"/>
        <v>1.2502806685764329E-2</v>
      </c>
      <c r="BD479" s="179">
        <f t="shared" si="536"/>
        <v>1.5197914126540488E-2</v>
      </c>
      <c r="BE479" s="179">
        <f t="shared" si="537"/>
        <v>1.4563438485540528E-2</v>
      </c>
      <c r="BF479" s="179">
        <f t="shared" si="538"/>
        <v>1.6603112447186263E-2</v>
      </c>
      <c r="BG479" s="179">
        <f t="shared" si="539"/>
        <v>5.3842251429109369E-3</v>
      </c>
      <c r="BH479" s="179">
        <f t="shared" si="540"/>
        <v>5.0685026190782747E-3</v>
      </c>
    </row>
    <row r="480" spans="2:68" s="108" customFormat="1" x14ac:dyDescent="0.25">
      <c r="B480" s="107"/>
      <c r="E480" s="109" t="s">
        <v>5</v>
      </c>
      <c r="F480" s="110" t="s">
        <v>75</v>
      </c>
      <c r="G480" s="111" t="s">
        <v>131</v>
      </c>
      <c r="H480" s="112">
        <v>518514</v>
      </c>
      <c r="I480" s="112">
        <v>559250</v>
      </c>
      <c r="J480" s="112">
        <v>609220</v>
      </c>
      <c r="K480" s="112">
        <v>676435</v>
      </c>
      <c r="L480" s="112">
        <v>727141</v>
      </c>
      <c r="M480" s="112">
        <v>777711</v>
      </c>
      <c r="N480" s="112">
        <v>843983</v>
      </c>
      <c r="O480" s="112">
        <v>893348</v>
      </c>
      <c r="P480" s="112">
        <v>979942</v>
      </c>
      <c r="R480" s="111" t="s">
        <v>131</v>
      </c>
      <c r="S480" s="220">
        <v>0.9</v>
      </c>
      <c r="T480" s="220">
        <v>0.9</v>
      </c>
      <c r="U480" s="220">
        <v>2</v>
      </c>
      <c r="V480" s="220">
        <v>2.6</v>
      </c>
      <c r="W480" s="220">
        <v>2.4</v>
      </c>
      <c r="X480" s="220">
        <v>2.1</v>
      </c>
      <c r="Y480" s="220">
        <v>2.1</v>
      </c>
      <c r="Z480" s="220">
        <v>1</v>
      </c>
      <c r="AA480" s="220">
        <v>0.6</v>
      </c>
      <c r="AC480" s="111" t="s">
        <v>131</v>
      </c>
      <c r="AD480" s="112">
        <f t="shared" si="544"/>
        <v>9333.2520000000004</v>
      </c>
      <c r="AE480" s="112">
        <f t="shared" si="525"/>
        <v>10066.5</v>
      </c>
      <c r="AF480" s="112">
        <f t="shared" si="526"/>
        <v>24368.799999999999</v>
      </c>
      <c r="AG480" s="112">
        <f t="shared" si="527"/>
        <v>35174.620000000003</v>
      </c>
      <c r="AH480" s="112">
        <f t="shared" si="528"/>
        <v>34902.767999999996</v>
      </c>
      <c r="AI480" s="112">
        <f t="shared" si="529"/>
        <v>32663.862000000001</v>
      </c>
      <c r="AJ480" s="112">
        <f t="shared" si="530"/>
        <v>35447.286</v>
      </c>
      <c r="AK480" s="112">
        <f t="shared" si="541"/>
        <v>17866.96</v>
      </c>
      <c r="AL480" s="112">
        <f t="shared" si="542"/>
        <v>11759.303999999998</v>
      </c>
      <c r="AN480" s="111" t="s">
        <v>131</v>
      </c>
      <c r="AO480" s="113">
        <f t="shared" ref="AO480:AW480" si="582">H480/H476</f>
        <v>0.42054712636593017</v>
      </c>
      <c r="AP480" s="113">
        <f t="shared" si="582"/>
        <v>0.43212957783045841</v>
      </c>
      <c r="AQ480" s="113">
        <f t="shared" si="582"/>
        <v>0.45645808545645811</v>
      </c>
      <c r="AR480" s="113">
        <f t="shared" si="582"/>
        <v>0.47239126275020288</v>
      </c>
      <c r="AS480" s="113">
        <f t="shared" si="582"/>
        <v>0.48712876195478283</v>
      </c>
      <c r="AT480" s="113">
        <f t="shared" si="582"/>
        <v>0.50044690170672046</v>
      </c>
      <c r="AU480" s="113">
        <f t="shared" si="582"/>
        <v>0.51080241776611435</v>
      </c>
      <c r="AV480" s="113">
        <f t="shared" si="582"/>
        <v>0.51913876293200889</v>
      </c>
      <c r="AW480" s="113">
        <f t="shared" si="582"/>
        <v>0.5533731785603766</v>
      </c>
      <c r="AY480" s="111" t="s">
        <v>131</v>
      </c>
      <c r="AZ480" s="179">
        <f t="shared" si="532"/>
        <v>7.5698482745867436E-3</v>
      </c>
      <c r="BA480" s="179">
        <f t="shared" si="533"/>
        <v>7.7783324009482509E-3</v>
      </c>
      <c r="BB480" s="179">
        <f t="shared" si="534"/>
        <v>1.8258323418258324E-2</v>
      </c>
      <c r="BC480" s="179">
        <f t="shared" si="535"/>
        <v>2.4564345663010551E-2</v>
      </c>
      <c r="BD480" s="179">
        <f t="shared" si="536"/>
        <v>2.3382180573829573E-2</v>
      </c>
      <c r="BE480" s="179">
        <f t="shared" si="537"/>
        <v>2.1018769871682261E-2</v>
      </c>
      <c r="BF480" s="179">
        <f t="shared" si="538"/>
        <v>2.1453701546176804E-2</v>
      </c>
      <c r="BG480" s="179">
        <f t="shared" si="539"/>
        <v>1.0382775258640177E-2</v>
      </c>
      <c r="BH480" s="179">
        <f t="shared" si="540"/>
        <v>6.6404781427245188E-3</v>
      </c>
    </row>
    <row r="481" spans="2:68" x14ac:dyDescent="0.3">
      <c r="H481" s="122" t="s">
        <v>122</v>
      </c>
      <c r="I481" s="122">
        <v>2003</v>
      </c>
      <c r="J481" s="122">
        <v>2005</v>
      </c>
      <c r="K481" s="122" t="s">
        <v>123</v>
      </c>
      <c r="L481" s="122" t="s">
        <v>124</v>
      </c>
      <c r="M481" s="122" t="s">
        <v>125</v>
      </c>
      <c r="N481" s="122" t="s">
        <v>126</v>
      </c>
      <c r="O481" s="122" t="s">
        <v>127</v>
      </c>
      <c r="P481" s="122" t="s">
        <v>128</v>
      </c>
      <c r="R481" s="111"/>
      <c r="S481" s="120" t="s">
        <v>122</v>
      </c>
      <c r="T481" s="121">
        <v>2003</v>
      </c>
      <c r="U481" s="121">
        <v>2005</v>
      </c>
      <c r="V481" s="122" t="s">
        <v>123</v>
      </c>
      <c r="W481" s="122" t="s">
        <v>124</v>
      </c>
      <c r="X481" s="122" t="s">
        <v>125</v>
      </c>
      <c r="Y481" s="122" t="s">
        <v>126</v>
      </c>
      <c r="Z481" s="122" t="s">
        <v>127</v>
      </c>
      <c r="AA481" s="122" t="s">
        <v>128</v>
      </c>
      <c r="AC481" s="197" t="s">
        <v>8</v>
      </c>
      <c r="AD481" s="120" t="s">
        <v>122</v>
      </c>
      <c r="AE481" s="121">
        <v>2003</v>
      </c>
      <c r="AF481" s="121">
        <v>2005</v>
      </c>
      <c r="AG481" s="122" t="s">
        <v>123</v>
      </c>
      <c r="AH481" s="122" t="s">
        <v>124</v>
      </c>
      <c r="AI481" s="122" t="s">
        <v>125</v>
      </c>
      <c r="AJ481" s="122" t="s">
        <v>126</v>
      </c>
      <c r="AK481" s="122" t="s">
        <v>127</v>
      </c>
      <c r="AL481" s="122" t="s">
        <v>128</v>
      </c>
      <c r="AN481" s="197" t="s">
        <v>8</v>
      </c>
      <c r="AO481" s="120" t="s">
        <v>122</v>
      </c>
      <c r="AP481" s="121">
        <v>2003</v>
      </c>
      <c r="AQ481" s="121">
        <v>2005</v>
      </c>
      <c r="AR481" s="122" t="s">
        <v>123</v>
      </c>
      <c r="AS481" s="122" t="s">
        <v>124</v>
      </c>
      <c r="AT481" s="122" t="s">
        <v>125</v>
      </c>
      <c r="AU481" s="122" t="s">
        <v>126</v>
      </c>
      <c r="AV481" s="122" t="s">
        <v>127</v>
      </c>
      <c r="AW481" s="122" t="s">
        <v>128</v>
      </c>
      <c r="AY481" s="197" t="s">
        <v>8</v>
      </c>
      <c r="AZ481" s="120" t="s">
        <v>122</v>
      </c>
      <c r="BA481" s="121">
        <v>2003</v>
      </c>
      <c r="BB481" s="121">
        <v>2005</v>
      </c>
      <c r="BC481" s="122" t="s">
        <v>123</v>
      </c>
      <c r="BD481" s="122" t="s">
        <v>124</v>
      </c>
      <c r="BE481" s="122" t="s">
        <v>125</v>
      </c>
      <c r="BF481" s="122" t="s">
        <v>126</v>
      </c>
      <c r="BG481" s="122" t="s">
        <v>127</v>
      </c>
      <c r="BH481" s="122" t="s">
        <v>128</v>
      </c>
    </row>
    <row r="482" spans="2:68" s="87" customFormat="1" x14ac:dyDescent="0.25">
      <c r="B482" s="84"/>
      <c r="C482" s="85"/>
      <c r="D482" s="85"/>
      <c r="E482" s="109" t="s">
        <v>0</v>
      </c>
      <c r="F482" s="110" t="s">
        <v>67</v>
      </c>
      <c r="G482" s="195" t="s">
        <v>7</v>
      </c>
      <c r="H482" s="69">
        <v>415379</v>
      </c>
      <c r="I482" s="69">
        <v>424462</v>
      </c>
      <c r="J482" s="69">
        <v>425405</v>
      </c>
      <c r="K482" s="69">
        <v>425280</v>
      </c>
      <c r="L482" s="69">
        <v>426482</v>
      </c>
      <c r="M482" s="69">
        <v>410043</v>
      </c>
      <c r="N482" s="69">
        <v>403183</v>
      </c>
      <c r="O482" s="69">
        <v>408328</v>
      </c>
      <c r="P482" s="69">
        <v>400238</v>
      </c>
      <c r="R482" s="195" t="s">
        <v>7</v>
      </c>
      <c r="S482" s="226">
        <v>1</v>
      </c>
      <c r="T482" s="226">
        <v>1</v>
      </c>
      <c r="U482" s="226">
        <v>1</v>
      </c>
      <c r="V482" s="226">
        <v>1.1000000000000001</v>
      </c>
      <c r="W482" s="226">
        <v>1.2</v>
      </c>
      <c r="X482" s="226">
        <v>1.3</v>
      </c>
      <c r="Y482" s="226">
        <v>1.3</v>
      </c>
      <c r="Z482" s="226">
        <v>1.4</v>
      </c>
      <c r="AA482" s="226">
        <v>1.3</v>
      </c>
      <c r="AC482" s="195" t="s">
        <v>7</v>
      </c>
      <c r="AD482" s="69">
        <f>2*(H482*S482/100)</f>
        <v>8307.58</v>
      </c>
      <c r="AE482" s="69">
        <f t="shared" ref="AE482:AE521" si="583">2*(I482*T482/100)</f>
        <v>8489.24</v>
      </c>
      <c r="AF482" s="69">
        <f t="shared" ref="AF482:AF521" si="584">2*(J482*U482/100)</f>
        <v>8508.1</v>
      </c>
      <c r="AG482" s="69">
        <f t="shared" ref="AG482:AG521" si="585">2*(K482*V482/100)</f>
        <v>9356.1600000000017</v>
      </c>
      <c r="AH482" s="69">
        <f t="shared" ref="AH482:AH521" si="586">2*(L482*W482/100)</f>
        <v>10235.567999999999</v>
      </c>
      <c r="AI482" s="69">
        <f t="shared" ref="AI482:AI521" si="587">2*(M482*X482/100)</f>
        <v>10661.118</v>
      </c>
      <c r="AJ482" s="69">
        <f t="shared" ref="AJ482:AJ521" si="588">2*(N482*Y482/100)</f>
        <v>10482.758</v>
      </c>
      <c r="AK482" s="69">
        <f>2*(O482*Z482/100)</f>
        <v>11433.183999999999</v>
      </c>
      <c r="AL482" s="69">
        <f>2*(P482*AA482/100)</f>
        <v>10406.188</v>
      </c>
      <c r="AN482" s="195" t="s">
        <v>7</v>
      </c>
      <c r="AO482" s="98">
        <f t="shared" ref="AO482:AW482" si="589">H482/H482</f>
        <v>1</v>
      </c>
      <c r="AP482" s="98">
        <f t="shared" si="589"/>
        <v>1</v>
      </c>
      <c r="AQ482" s="98">
        <f t="shared" si="589"/>
        <v>1</v>
      </c>
      <c r="AR482" s="98">
        <f t="shared" si="589"/>
        <v>1</v>
      </c>
      <c r="AS482" s="98">
        <f t="shared" si="589"/>
        <v>1</v>
      </c>
      <c r="AT482" s="98">
        <f t="shared" si="589"/>
        <v>1</v>
      </c>
      <c r="AU482" s="98">
        <f t="shared" si="589"/>
        <v>1</v>
      </c>
      <c r="AV482" s="98">
        <f t="shared" si="589"/>
        <v>1</v>
      </c>
      <c r="AW482" s="98">
        <f t="shared" si="589"/>
        <v>1</v>
      </c>
      <c r="AX482" s="191"/>
      <c r="AY482" s="195" t="s">
        <v>7</v>
      </c>
      <c r="AZ482" s="178">
        <f t="shared" ref="AZ482:AZ521" si="590">2*(S482*AO482/100)</f>
        <v>0.02</v>
      </c>
      <c r="BA482" s="178">
        <f t="shared" ref="BA482:BA521" si="591">2*(T482*AP482/100)</f>
        <v>0.02</v>
      </c>
      <c r="BB482" s="178">
        <f t="shared" ref="BB482:BB521" si="592">2*(U482*AQ482/100)</f>
        <v>0.02</v>
      </c>
      <c r="BC482" s="178">
        <f t="shared" ref="BC482:BC521" si="593">2*(V482*AR482/100)</f>
        <v>2.2000000000000002E-2</v>
      </c>
      <c r="BD482" s="178">
        <f t="shared" ref="BD482:BD521" si="594">2*(W482*AS482/100)</f>
        <v>2.4E-2</v>
      </c>
      <c r="BE482" s="178">
        <f t="shared" ref="BE482:BE521" si="595">2*(X482*AT482/100)</f>
        <v>2.6000000000000002E-2</v>
      </c>
      <c r="BF482" s="178">
        <f t="shared" ref="BF482:BF521" si="596">2*(Y482*AU482/100)</f>
        <v>2.6000000000000002E-2</v>
      </c>
      <c r="BG482" s="178">
        <f t="shared" ref="BG482:BG521" si="597">2*(Z482*AV482/100)</f>
        <v>2.7999999999999997E-2</v>
      </c>
      <c r="BH482" s="178">
        <f t="shared" ref="BH482:BH521" si="598">2*(AA482*AW482/100)</f>
        <v>2.6000000000000002E-2</v>
      </c>
      <c r="BI482" s="191"/>
      <c r="BJ482" s="191"/>
      <c r="BK482" s="191"/>
      <c r="BL482" s="191"/>
      <c r="BM482" s="191"/>
      <c r="BN482" s="191"/>
      <c r="BO482" s="191"/>
      <c r="BP482" s="191"/>
    </row>
    <row r="483" spans="2:68" s="108" customFormat="1" x14ac:dyDescent="0.25">
      <c r="B483" s="107"/>
      <c r="E483" s="109" t="s">
        <v>0</v>
      </c>
      <c r="F483" s="110" t="s">
        <v>67</v>
      </c>
      <c r="G483" s="111" t="s">
        <v>54</v>
      </c>
      <c r="H483" s="112">
        <v>48268</v>
      </c>
      <c r="I483" s="112">
        <v>42192</v>
      </c>
      <c r="J483" s="112">
        <v>42481</v>
      </c>
      <c r="K483" s="112">
        <v>43708</v>
      </c>
      <c r="L483" s="112">
        <v>36864</v>
      </c>
      <c r="M483" s="112">
        <v>29038</v>
      </c>
      <c r="N483" s="112">
        <v>24346</v>
      </c>
      <c r="O483" s="112">
        <v>21451</v>
      </c>
      <c r="P483" s="112">
        <v>18835</v>
      </c>
      <c r="R483" s="111" t="s">
        <v>54</v>
      </c>
      <c r="S483" s="220">
        <v>9.1</v>
      </c>
      <c r="T483" s="220">
        <v>9.9</v>
      </c>
      <c r="U483" s="220">
        <v>9.9</v>
      </c>
      <c r="V483" s="220">
        <v>10.8</v>
      </c>
      <c r="W483" s="220">
        <v>13.2</v>
      </c>
      <c r="X483" s="220">
        <v>17.5</v>
      </c>
      <c r="Y483" s="220">
        <v>17.8</v>
      </c>
      <c r="Z483" s="220">
        <v>17.899999999999999</v>
      </c>
      <c r="AA483" s="220">
        <v>18.7</v>
      </c>
      <c r="AC483" s="111" t="s">
        <v>54</v>
      </c>
      <c r="AD483" s="112">
        <f>2*(H483*S483/100)</f>
        <v>8784.7759999999998</v>
      </c>
      <c r="AE483" s="112">
        <f t="shared" si="583"/>
        <v>8354.0159999999996</v>
      </c>
      <c r="AF483" s="112">
        <f t="shared" si="584"/>
        <v>8411.2380000000012</v>
      </c>
      <c r="AG483" s="112">
        <f t="shared" si="585"/>
        <v>9440.9279999999999</v>
      </c>
      <c r="AH483" s="112">
        <f t="shared" si="586"/>
        <v>9732.0959999999995</v>
      </c>
      <c r="AI483" s="112">
        <f t="shared" si="587"/>
        <v>10163.299999999999</v>
      </c>
      <c r="AJ483" s="112">
        <f t="shared" si="588"/>
        <v>8667.1759999999995</v>
      </c>
      <c r="AK483" s="112">
        <f t="shared" ref="AK483:AK521" si="599">2*(O483*Z483/100)</f>
        <v>7679.4579999999996</v>
      </c>
      <c r="AL483" s="112">
        <f t="shared" ref="AL483:AL527" si="600">2*(P483*AA483/100)</f>
        <v>7044.29</v>
      </c>
      <c r="AN483" s="111" t="s">
        <v>54</v>
      </c>
      <c r="AO483" s="113">
        <f t="shared" ref="AO483:AW483" si="601">H483/H482</f>
        <v>0.11620231162384233</v>
      </c>
      <c r="AP483" s="113">
        <f t="shared" si="601"/>
        <v>9.9401124246693465E-2</v>
      </c>
      <c r="AQ483" s="113">
        <f t="shared" si="601"/>
        <v>9.9860133284752184E-2</v>
      </c>
      <c r="AR483" s="113">
        <f t="shared" si="601"/>
        <v>0.10277464258841235</v>
      </c>
      <c r="AS483" s="113">
        <f t="shared" si="601"/>
        <v>8.6437411192031549E-2</v>
      </c>
      <c r="AT483" s="113">
        <f t="shared" si="601"/>
        <v>7.0816963098992061E-2</v>
      </c>
      <c r="AU483" s="113">
        <f t="shared" si="601"/>
        <v>6.0384490417502719E-2</v>
      </c>
      <c r="AV483" s="113">
        <f t="shared" si="601"/>
        <v>5.2533747379557613E-2</v>
      </c>
      <c r="AW483" s="113">
        <f t="shared" si="601"/>
        <v>4.7059499597739342E-2</v>
      </c>
      <c r="AY483" s="111" t="s">
        <v>54</v>
      </c>
      <c r="AZ483" s="179">
        <f t="shared" si="590"/>
        <v>2.1148820715539304E-2</v>
      </c>
      <c r="BA483" s="179">
        <f t="shared" si="591"/>
        <v>1.9681422600845308E-2</v>
      </c>
      <c r="BB483" s="179">
        <f t="shared" si="592"/>
        <v>1.9772306390380932E-2</v>
      </c>
      <c r="BC483" s="179">
        <f t="shared" si="593"/>
        <v>2.219932279909707E-2</v>
      </c>
      <c r="BD483" s="179">
        <f t="shared" si="594"/>
        <v>2.2819476554696329E-2</v>
      </c>
      <c r="BE483" s="179">
        <f t="shared" si="595"/>
        <v>2.4785937084647221E-2</v>
      </c>
      <c r="BF483" s="179">
        <f t="shared" si="596"/>
        <v>2.1496878588630967E-2</v>
      </c>
      <c r="BG483" s="179">
        <f t="shared" si="597"/>
        <v>1.8807081561881624E-2</v>
      </c>
      <c r="BH483" s="179">
        <f t="shared" si="598"/>
        <v>1.7600252849554514E-2</v>
      </c>
    </row>
    <row r="484" spans="2:68" s="108" customFormat="1" x14ac:dyDescent="0.25">
      <c r="B484" s="107"/>
      <c r="E484" s="109" t="s">
        <v>0</v>
      </c>
      <c r="F484" s="110" t="s">
        <v>67</v>
      </c>
      <c r="G484" s="111" t="s">
        <v>55</v>
      </c>
      <c r="H484" s="70">
        <v>12555</v>
      </c>
      <c r="I484" s="70">
        <v>9303</v>
      </c>
      <c r="J484" s="70">
        <v>8008</v>
      </c>
      <c r="K484" s="112" t="s">
        <v>129</v>
      </c>
      <c r="L484" s="70">
        <v>8825</v>
      </c>
      <c r="M484" s="112" t="s">
        <v>129</v>
      </c>
      <c r="N484" s="112" t="s">
        <v>129</v>
      </c>
      <c r="O484" s="112" t="s">
        <v>129</v>
      </c>
      <c r="P484" s="112" t="s">
        <v>129</v>
      </c>
      <c r="R484" s="111" t="s">
        <v>55</v>
      </c>
      <c r="S484" s="81">
        <v>16.5</v>
      </c>
      <c r="T484" s="81">
        <v>22</v>
      </c>
      <c r="U484" s="81">
        <v>23.3</v>
      </c>
      <c r="V484" s="81" t="s">
        <v>57</v>
      </c>
      <c r="W484" s="81">
        <v>28.2</v>
      </c>
      <c r="X484" s="81" t="s">
        <v>57</v>
      </c>
      <c r="Y484" s="81" t="s">
        <v>57</v>
      </c>
      <c r="Z484" s="81" t="s">
        <v>57</v>
      </c>
      <c r="AA484" s="81" t="s">
        <v>57</v>
      </c>
      <c r="AC484" s="111" t="s">
        <v>55</v>
      </c>
      <c r="AD484" s="70">
        <f t="shared" ref="AD484:AD521" si="602">2*(H484*S484/100)</f>
        <v>4143.1499999999996</v>
      </c>
      <c r="AE484" s="70">
        <f t="shared" si="583"/>
        <v>4093.32</v>
      </c>
      <c r="AF484" s="70">
        <f t="shared" si="584"/>
        <v>3731.7280000000001</v>
      </c>
      <c r="AG484" s="70" t="e">
        <f t="shared" si="585"/>
        <v>#VALUE!</v>
      </c>
      <c r="AH484" s="70">
        <f t="shared" si="586"/>
        <v>4977.3</v>
      </c>
      <c r="AI484" s="70" t="e">
        <f t="shared" si="587"/>
        <v>#VALUE!</v>
      </c>
      <c r="AJ484" s="70" t="e">
        <f t="shared" si="588"/>
        <v>#VALUE!</v>
      </c>
      <c r="AK484" s="70" t="e">
        <f t="shared" si="599"/>
        <v>#VALUE!</v>
      </c>
      <c r="AL484" s="70" t="e">
        <f t="shared" si="600"/>
        <v>#VALUE!</v>
      </c>
      <c r="AN484" s="111" t="s">
        <v>55</v>
      </c>
      <c r="AO484" s="113">
        <f t="shared" ref="AO484:AW484" si="603">H484/H482</f>
        <v>3.0225408602745925E-2</v>
      </c>
      <c r="AP484" s="113">
        <f t="shared" si="603"/>
        <v>2.191715630610043E-2</v>
      </c>
      <c r="AQ484" s="113">
        <f t="shared" si="603"/>
        <v>1.882441438158931E-2</v>
      </c>
      <c r="AR484" s="113" t="e">
        <f t="shared" si="603"/>
        <v>#VALUE!</v>
      </c>
      <c r="AS484" s="113">
        <f t="shared" si="603"/>
        <v>2.0692549744186155E-2</v>
      </c>
      <c r="AT484" s="113" t="e">
        <f t="shared" si="603"/>
        <v>#VALUE!</v>
      </c>
      <c r="AU484" s="113" t="e">
        <f t="shared" si="603"/>
        <v>#VALUE!</v>
      </c>
      <c r="AV484" s="113" t="e">
        <f t="shared" si="603"/>
        <v>#VALUE!</v>
      </c>
      <c r="AW484" s="113" t="e">
        <f t="shared" si="603"/>
        <v>#VALUE!</v>
      </c>
      <c r="AY484" s="111" t="s">
        <v>55</v>
      </c>
      <c r="AZ484" s="179">
        <f t="shared" si="590"/>
        <v>9.9743848389061557E-3</v>
      </c>
      <c r="BA484" s="179">
        <f t="shared" si="591"/>
        <v>9.6435487746841901E-3</v>
      </c>
      <c r="BB484" s="179">
        <f t="shared" si="592"/>
        <v>8.7721771018206187E-3</v>
      </c>
      <c r="BC484" s="179" t="e">
        <f t="shared" si="593"/>
        <v>#VALUE!</v>
      </c>
      <c r="BD484" s="179">
        <f t="shared" si="594"/>
        <v>1.1670598055720991E-2</v>
      </c>
      <c r="BE484" s="179" t="e">
        <f t="shared" si="595"/>
        <v>#VALUE!</v>
      </c>
      <c r="BF484" s="179" t="e">
        <f t="shared" si="596"/>
        <v>#VALUE!</v>
      </c>
      <c r="BG484" s="179" t="e">
        <f t="shared" si="597"/>
        <v>#VALUE!</v>
      </c>
      <c r="BH484" s="179" t="e">
        <f t="shared" si="598"/>
        <v>#VALUE!</v>
      </c>
    </row>
    <row r="485" spans="2:68" s="108" customFormat="1" x14ac:dyDescent="0.25">
      <c r="B485" s="107"/>
      <c r="E485" s="109" t="s">
        <v>0</v>
      </c>
      <c r="F485" s="110" t="s">
        <v>67</v>
      </c>
      <c r="G485" s="111" t="s">
        <v>130</v>
      </c>
      <c r="H485" s="70">
        <v>46265</v>
      </c>
      <c r="I485" s="70">
        <v>45530</v>
      </c>
      <c r="J485" s="70">
        <v>29625</v>
      </c>
      <c r="K485" s="70">
        <v>29685</v>
      </c>
      <c r="L485" s="70">
        <v>28706</v>
      </c>
      <c r="M485" s="70">
        <v>16940</v>
      </c>
      <c r="N485" s="70">
        <v>18156</v>
      </c>
      <c r="O485" s="112">
        <v>16425</v>
      </c>
      <c r="P485" s="112">
        <v>20761</v>
      </c>
      <c r="R485" s="111" t="s">
        <v>130</v>
      </c>
      <c r="S485" s="220">
        <v>8.1</v>
      </c>
      <c r="T485" s="220">
        <v>9.4</v>
      </c>
      <c r="U485" s="220">
        <v>12.9</v>
      </c>
      <c r="V485" s="220">
        <v>13.5</v>
      </c>
      <c r="W485" s="220">
        <v>15.6</v>
      </c>
      <c r="X485" s="220">
        <v>20.6</v>
      </c>
      <c r="Y485" s="220">
        <v>20.6</v>
      </c>
      <c r="Z485" s="220">
        <v>20.5</v>
      </c>
      <c r="AA485" s="220">
        <v>17.8</v>
      </c>
      <c r="AC485" s="111" t="s">
        <v>130</v>
      </c>
      <c r="AD485" s="70">
        <f t="shared" si="602"/>
        <v>7494.93</v>
      </c>
      <c r="AE485" s="70">
        <f t="shared" si="583"/>
        <v>8559.64</v>
      </c>
      <c r="AF485" s="70">
        <f t="shared" si="584"/>
        <v>7643.25</v>
      </c>
      <c r="AG485" s="70">
        <f t="shared" si="585"/>
        <v>8014.95</v>
      </c>
      <c r="AH485" s="70">
        <f t="shared" si="586"/>
        <v>8956.271999999999</v>
      </c>
      <c r="AI485" s="70">
        <f t="shared" si="587"/>
        <v>6979.28</v>
      </c>
      <c r="AJ485" s="70">
        <f t="shared" si="588"/>
        <v>7480.2720000000008</v>
      </c>
      <c r="AK485" s="70">
        <f t="shared" si="599"/>
        <v>6734.25</v>
      </c>
      <c r="AL485" s="70">
        <f t="shared" si="600"/>
        <v>7390.9160000000002</v>
      </c>
      <c r="AN485" s="111" t="s">
        <v>130</v>
      </c>
      <c r="AO485" s="113">
        <f t="shared" ref="AO485:AW485" si="604">H485/H482</f>
        <v>0.11138020939912706</v>
      </c>
      <c r="AP485" s="113">
        <f t="shared" si="604"/>
        <v>0.10726519688452676</v>
      </c>
      <c r="AQ485" s="113">
        <f t="shared" si="604"/>
        <v>6.9639519986836068E-2</v>
      </c>
      <c r="AR485" s="113">
        <f t="shared" si="604"/>
        <v>6.9801072234762979E-2</v>
      </c>
      <c r="AS485" s="113">
        <f t="shared" si="604"/>
        <v>6.7308819598482464E-2</v>
      </c>
      <c r="AT485" s="113">
        <f t="shared" si="604"/>
        <v>4.1312740371131806E-2</v>
      </c>
      <c r="AU485" s="113">
        <f t="shared" si="604"/>
        <v>4.5031660561085166E-2</v>
      </c>
      <c r="AV485" s="113">
        <f t="shared" si="604"/>
        <v>4.0225015183871789E-2</v>
      </c>
      <c r="AW485" s="113">
        <f t="shared" si="604"/>
        <v>5.187163637635607E-2</v>
      </c>
      <c r="AY485" s="111" t="s">
        <v>130</v>
      </c>
      <c r="AZ485" s="179">
        <f t="shared" si="590"/>
        <v>1.8043593922658582E-2</v>
      </c>
      <c r="BA485" s="179">
        <f t="shared" si="591"/>
        <v>2.0165857014291032E-2</v>
      </c>
      <c r="BB485" s="179">
        <f t="shared" si="592"/>
        <v>1.7966996156603705E-2</v>
      </c>
      <c r="BC485" s="179">
        <f t="shared" si="593"/>
        <v>1.8846289503386005E-2</v>
      </c>
      <c r="BD485" s="179">
        <f t="shared" si="594"/>
        <v>2.1000351714726525E-2</v>
      </c>
      <c r="BE485" s="179">
        <f t="shared" si="595"/>
        <v>1.7020849032906304E-2</v>
      </c>
      <c r="BF485" s="179">
        <f t="shared" si="596"/>
        <v>1.8553044151167087E-2</v>
      </c>
      <c r="BG485" s="179">
        <f t="shared" si="597"/>
        <v>1.6492256225387435E-2</v>
      </c>
      <c r="BH485" s="179">
        <f t="shared" si="598"/>
        <v>1.8466302549982761E-2</v>
      </c>
    </row>
    <row r="486" spans="2:68" s="108" customFormat="1" x14ac:dyDescent="0.25">
      <c r="B486" s="107"/>
      <c r="E486" s="109" t="s">
        <v>0</v>
      </c>
      <c r="F486" s="110" t="s">
        <v>67</v>
      </c>
      <c r="G486" s="111" t="s">
        <v>131</v>
      </c>
      <c r="H486" s="112">
        <v>308073</v>
      </c>
      <c r="I486" s="112">
        <v>327353</v>
      </c>
      <c r="J486" s="112">
        <v>345292</v>
      </c>
      <c r="K486" s="112">
        <v>345989</v>
      </c>
      <c r="L486" s="112">
        <v>352087</v>
      </c>
      <c r="M486" s="112">
        <v>355173</v>
      </c>
      <c r="N486" s="112">
        <v>356073</v>
      </c>
      <c r="O486" s="112">
        <v>366883</v>
      </c>
      <c r="P486" s="112">
        <v>359997</v>
      </c>
      <c r="R486" s="111" t="s">
        <v>131</v>
      </c>
      <c r="S486" s="220">
        <v>2</v>
      </c>
      <c r="T486" s="220">
        <v>2.1</v>
      </c>
      <c r="U486" s="220">
        <v>2.7</v>
      </c>
      <c r="V486" s="220">
        <v>3.8</v>
      </c>
      <c r="W486" s="220">
        <v>2.2999999999999998</v>
      </c>
      <c r="X486" s="220">
        <v>2.6</v>
      </c>
      <c r="Y486" s="220">
        <v>2.5</v>
      </c>
      <c r="Z486" s="220">
        <v>1.4</v>
      </c>
      <c r="AA486" s="220">
        <v>2.4</v>
      </c>
      <c r="AC486" s="111" t="s">
        <v>131</v>
      </c>
      <c r="AD486" s="112">
        <f t="shared" si="602"/>
        <v>12322.92</v>
      </c>
      <c r="AE486" s="112">
        <f t="shared" si="583"/>
        <v>13748.826000000001</v>
      </c>
      <c r="AF486" s="112">
        <f t="shared" si="584"/>
        <v>18645.768</v>
      </c>
      <c r="AG486" s="112">
        <f t="shared" si="585"/>
        <v>26295.164000000001</v>
      </c>
      <c r="AH486" s="112">
        <f t="shared" si="586"/>
        <v>16196.002</v>
      </c>
      <c r="AI486" s="112">
        <f t="shared" si="587"/>
        <v>18468.995999999999</v>
      </c>
      <c r="AJ486" s="112">
        <f t="shared" si="588"/>
        <v>17803.650000000001</v>
      </c>
      <c r="AK486" s="112">
        <f t="shared" si="599"/>
        <v>10272.723999999998</v>
      </c>
      <c r="AL486" s="112">
        <f t="shared" si="600"/>
        <v>17279.856</v>
      </c>
      <c r="AN486" s="111" t="s">
        <v>131</v>
      </c>
      <c r="AO486" s="113">
        <f t="shared" ref="AO486:AW486" si="605">H486/H482</f>
        <v>0.74166724846465515</v>
      </c>
      <c r="AP486" s="113">
        <f t="shared" si="605"/>
        <v>0.77121862498880933</v>
      </c>
      <c r="AQ486" s="113">
        <f t="shared" si="605"/>
        <v>0.811678283047919</v>
      </c>
      <c r="AR486" s="113">
        <f t="shared" si="605"/>
        <v>0.81355577501881116</v>
      </c>
      <c r="AS486" s="113">
        <f t="shared" si="605"/>
        <v>0.82556121946529981</v>
      </c>
      <c r="AT486" s="113">
        <f t="shared" si="605"/>
        <v>0.86618476598795735</v>
      </c>
      <c r="AU486" s="113">
        <f t="shared" si="605"/>
        <v>0.88315479571311295</v>
      </c>
      <c r="AV486" s="113">
        <f t="shared" si="605"/>
        <v>0.89850071511138108</v>
      </c>
      <c r="AW486" s="113">
        <f t="shared" si="605"/>
        <v>0.89945732289287872</v>
      </c>
      <c r="AY486" s="111" t="s">
        <v>131</v>
      </c>
      <c r="AZ486" s="179">
        <f t="shared" si="590"/>
        <v>2.9666689938586205E-2</v>
      </c>
      <c r="BA486" s="179">
        <f t="shared" si="591"/>
        <v>3.2391182249529991E-2</v>
      </c>
      <c r="BB486" s="179">
        <f t="shared" si="592"/>
        <v>4.3830627284587635E-2</v>
      </c>
      <c r="BC486" s="179">
        <f t="shared" si="593"/>
        <v>6.1830238901429642E-2</v>
      </c>
      <c r="BD486" s="179">
        <f t="shared" si="594"/>
        <v>3.7975816095403785E-2</v>
      </c>
      <c r="BE486" s="179">
        <f t="shared" si="595"/>
        <v>4.5041607831373787E-2</v>
      </c>
      <c r="BF486" s="179">
        <f t="shared" si="596"/>
        <v>4.4157739785655646E-2</v>
      </c>
      <c r="BG486" s="179">
        <f t="shared" si="597"/>
        <v>2.515802002311867E-2</v>
      </c>
      <c r="BH486" s="179">
        <f t="shared" si="598"/>
        <v>4.3173951498858179E-2</v>
      </c>
    </row>
    <row r="487" spans="2:68" s="87" customFormat="1" x14ac:dyDescent="0.25">
      <c r="B487" s="84"/>
      <c r="C487" s="85"/>
      <c r="D487" s="85"/>
      <c r="E487" s="109" t="s">
        <v>1</v>
      </c>
      <c r="F487" s="110" t="s">
        <v>67</v>
      </c>
      <c r="G487" s="195" t="s">
        <v>7</v>
      </c>
      <c r="H487" s="69">
        <v>530336</v>
      </c>
      <c r="I487" s="69">
        <v>540768</v>
      </c>
      <c r="J487" s="69">
        <v>561568</v>
      </c>
      <c r="K487" s="69">
        <v>592310</v>
      </c>
      <c r="L487" s="69">
        <v>620845</v>
      </c>
      <c r="M487" s="69">
        <v>638578</v>
      </c>
      <c r="N487" s="69">
        <v>626040</v>
      </c>
      <c r="O487" s="69">
        <v>581001</v>
      </c>
      <c r="P487" s="69">
        <v>612558</v>
      </c>
      <c r="R487" s="195" t="s">
        <v>7</v>
      </c>
      <c r="S487" s="226">
        <v>0.9</v>
      </c>
      <c r="T487" s="226">
        <v>0.9</v>
      </c>
      <c r="U487" s="226">
        <v>0.8</v>
      </c>
      <c r="V487" s="226">
        <v>1</v>
      </c>
      <c r="W487" s="226">
        <v>1.1000000000000001</v>
      </c>
      <c r="X487" s="226">
        <v>1.3</v>
      </c>
      <c r="Y487" s="226">
        <v>1</v>
      </c>
      <c r="Z487" s="226">
        <v>1.2</v>
      </c>
      <c r="AA487" s="226">
        <v>0.9</v>
      </c>
      <c r="AC487" s="195" t="s">
        <v>7</v>
      </c>
      <c r="AD487" s="69">
        <f t="shared" si="602"/>
        <v>9546.0480000000007</v>
      </c>
      <c r="AE487" s="69">
        <f t="shared" si="583"/>
        <v>9733.8240000000005</v>
      </c>
      <c r="AF487" s="69">
        <f t="shared" si="584"/>
        <v>8985.0879999999997</v>
      </c>
      <c r="AG487" s="69">
        <f t="shared" si="585"/>
        <v>11846.2</v>
      </c>
      <c r="AH487" s="69">
        <f t="shared" si="586"/>
        <v>13658.59</v>
      </c>
      <c r="AI487" s="69">
        <f t="shared" si="587"/>
        <v>16603.028000000002</v>
      </c>
      <c r="AJ487" s="69">
        <f t="shared" si="588"/>
        <v>12520.8</v>
      </c>
      <c r="AK487" s="69">
        <f t="shared" si="599"/>
        <v>13944.023999999999</v>
      </c>
      <c r="AL487" s="69">
        <f t="shared" si="600"/>
        <v>11026.044000000002</v>
      </c>
      <c r="AN487" s="195" t="s">
        <v>7</v>
      </c>
      <c r="AO487" s="98">
        <f t="shared" ref="AO487:AW487" si="606">H487/H487</f>
        <v>1</v>
      </c>
      <c r="AP487" s="98">
        <f t="shared" si="606"/>
        <v>1</v>
      </c>
      <c r="AQ487" s="98">
        <f t="shared" si="606"/>
        <v>1</v>
      </c>
      <c r="AR487" s="98">
        <f t="shared" si="606"/>
        <v>1</v>
      </c>
      <c r="AS487" s="98">
        <f t="shared" si="606"/>
        <v>1</v>
      </c>
      <c r="AT487" s="98">
        <f t="shared" si="606"/>
        <v>1</v>
      </c>
      <c r="AU487" s="98">
        <f t="shared" si="606"/>
        <v>1</v>
      </c>
      <c r="AV487" s="98">
        <f t="shared" si="606"/>
        <v>1</v>
      </c>
      <c r="AW487" s="98">
        <f t="shared" si="606"/>
        <v>1</v>
      </c>
      <c r="AX487" s="191"/>
      <c r="AY487" s="195" t="s">
        <v>7</v>
      </c>
      <c r="AZ487" s="178">
        <f t="shared" si="590"/>
        <v>1.8000000000000002E-2</v>
      </c>
      <c r="BA487" s="178">
        <f t="shared" si="591"/>
        <v>1.8000000000000002E-2</v>
      </c>
      <c r="BB487" s="178">
        <f t="shared" si="592"/>
        <v>1.6E-2</v>
      </c>
      <c r="BC487" s="178">
        <f t="shared" si="593"/>
        <v>0.02</v>
      </c>
      <c r="BD487" s="178">
        <f t="shared" si="594"/>
        <v>2.2000000000000002E-2</v>
      </c>
      <c r="BE487" s="178">
        <f t="shared" si="595"/>
        <v>2.6000000000000002E-2</v>
      </c>
      <c r="BF487" s="178">
        <f t="shared" si="596"/>
        <v>0.02</v>
      </c>
      <c r="BG487" s="178">
        <f t="shared" si="597"/>
        <v>2.4E-2</v>
      </c>
      <c r="BH487" s="178">
        <f t="shared" si="598"/>
        <v>1.8000000000000002E-2</v>
      </c>
      <c r="BI487" s="191"/>
      <c r="BJ487" s="191"/>
      <c r="BK487" s="191"/>
      <c r="BL487" s="191"/>
      <c r="BM487" s="191"/>
      <c r="BN487" s="191"/>
      <c r="BO487" s="191"/>
      <c r="BP487" s="191"/>
    </row>
    <row r="488" spans="2:68" s="108" customFormat="1" x14ac:dyDescent="0.25">
      <c r="B488" s="107"/>
      <c r="E488" s="109" t="s">
        <v>1</v>
      </c>
      <c r="F488" s="110" t="s">
        <v>67</v>
      </c>
      <c r="G488" s="111" t="s">
        <v>54</v>
      </c>
      <c r="H488" s="112">
        <v>155105</v>
      </c>
      <c r="I488" s="112">
        <v>149512</v>
      </c>
      <c r="J488" s="112">
        <v>159154</v>
      </c>
      <c r="K488" s="112">
        <v>150840</v>
      </c>
      <c r="L488" s="112">
        <v>138870</v>
      </c>
      <c r="M488" s="112">
        <v>135165</v>
      </c>
      <c r="N488" s="112">
        <v>131420</v>
      </c>
      <c r="O488" s="112">
        <v>115670</v>
      </c>
      <c r="P488" s="112">
        <v>103375</v>
      </c>
      <c r="R488" s="111" t="s">
        <v>54</v>
      </c>
      <c r="S488" s="220">
        <v>4.5</v>
      </c>
      <c r="T488" s="220">
        <v>5.0999999999999996</v>
      </c>
      <c r="U488" s="220">
        <v>4.7</v>
      </c>
      <c r="V488" s="220">
        <v>5.5</v>
      </c>
      <c r="W488" s="220">
        <v>5.9</v>
      </c>
      <c r="X488" s="220">
        <v>7.2</v>
      </c>
      <c r="Y488" s="220">
        <v>7.2</v>
      </c>
      <c r="Z488" s="220">
        <v>7.7</v>
      </c>
      <c r="AA488" s="220">
        <v>7.5</v>
      </c>
      <c r="AC488" s="111" t="s">
        <v>54</v>
      </c>
      <c r="AD488" s="112">
        <f t="shared" si="602"/>
        <v>13959.45</v>
      </c>
      <c r="AE488" s="112">
        <f t="shared" si="583"/>
        <v>15250.223999999998</v>
      </c>
      <c r="AF488" s="112">
        <f t="shared" si="584"/>
        <v>14960.476000000001</v>
      </c>
      <c r="AG488" s="112">
        <f t="shared" si="585"/>
        <v>16592.400000000001</v>
      </c>
      <c r="AH488" s="112">
        <f t="shared" si="586"/>
        <v>16386.66</v>
      </c>
      <c r="AI488" s="112">
        <f t="shared" si="587"/>
        <v>19463.759999999998</v>
      </c>
      <c r="AJ488" s="112">
        <f t="shared" si="588"/>
        <v>18924.48</v>
      </c>
      <c r="AK488" s="112">
        <f t="shared" si="599"/>
        <v>17813.18</v>
      </c>
      <c r="AL488" s="112">
        <f t="shared" si="600"/>
        <v>15506.25</v>
      </c>
      <c r="AN488" s="111" t="s">
        <v>54</v>
      </c>
      <c r="AO488" s="113">
        <f t="shared" ref="AO488:AW488" si="607">H488/H487</f>
        <v>0.29246553128582636</v>
      </c>
      <c r="AP488" s="113">
        <f t="shared" si="607"/>
        <v>0.27648085685543522</v>
      </c>
      <c r="AQ488" s="113">
        <f t="shared" si="607"/>
        <v>0.28341002336315457</v>
      </c>
      <c r="AR488" s="113">
        <f t="shared" si="607"/>
        <v>0.25466394286775507</v>
      </c>
      <c r="AS488" s="113">
        <f t="shared" si="607"/>
        <v>0.22367901811241131</v>
      </c>
      <c r="AT488" s="113">
        <f t="shared" si="607"/>
        <v>0.21166560702059889</v>
      </c>
      <c r="AU488" s="113">
        <f t="shared" si="607"/>
        <v>0.2099226886460929</v>
      </c>
      <c r="AV488" s="113">
        <f t="shared" si="607"/>
        <v>0.19908743702678652</v>
      </c>
      <c r="AW488" s="113">
        <f t="shared" si="607"/>
        <v>0.16875952970983973</v>
      </c>
      <c r="AY488" s="111" t="s">
        <v>54</v>
      </c>
      <c r="AZ488" s="179">
        <f t="shared" si="590"/>
        <v>2.6321897815724374E-2</v>
      </c>
      <c r="BA488" s="179">
        <f t="shared" si="591"/>
        <v>2.820104739925439E-2</v>
      </c>
      <c r="BB488" s="179">
        <f t="shared" si="592"/>
        <v>2.664054219613653E-2</v>
      </c>
      <c r="BC488" s="179">
        <f t="shared" si="593"/>
        <v>2.8013033715453054E-2</v>
      </c>
      <c r="BD488" s="179">
        <f t="shared" si="594"/>
        <v>2.6394124137264538E-2</v>
      </c>
      <c r="BE488" s="179">
        <f t="shared" si="595"/>
        <v>3.0479847410966241E-2</v>
      </c>
      <c r="BF488" s="179">
        <f t="shared" si="596"/>
        <v>3.0228867165037379E-2</v>
      </c>
      <c r="BG488" s="179">
        <f t="shared" si="597"/>
        <v>3.0659465302125124E-2</v>
      </c>
      <c r="BH488" s="179">
        <f t="shared" si="598"/>
        <v>2.531392945647596E-2</v>
      </c>
    </row>
    <row r="489" spans="2:68" s="108" customFormat="1" x14ac:dyDescent="0.25">
      <c r="B489" s="107"/>
      <c r="E489" s="109" t="s">
        <v>1</v>
      </c>
      <c r="F489" s="110" t="s">
        <v>67</v>
      </c>
      <c r="G489" s="111" t="s">
        <v>55</v>
      </c>
      <c r="H489" s="70">
        <v>71515</v>
      </c>
      <c r="I489" s="70">
        <v>79261</v>
      </c>
      <c r="J489" s="70">
        <v>70577</v>
      </c>
      <c r="K489" s="70">
        <v>79269</v>
      </c>
      <c r="L489" s="70">
        <v>79264</v>
      </c>
      <c r="M489" s="70">
        <v>57279</v>
      </c>
      <c r="N489" s="70">
        <v>55375</v>
      </c>
      <c r="O489" s="112">
        <v>39459</v>
      </c>
      <c r="P489" s="112">
        <v>53469</v>
      </c>
      <c r="R489" s="111" t="s">
        <v>55</v>
      </c>
      <c r="S489" s="81">
        <v>6.5</v>
      </c>
      <c r="T489" s="81">
        <v>7.3</v>
      </c>
      <c r="U489" s="81">
        <v>7.5</v>
      </c>
      <c r="V489" s="81">
        <v>7.6</v>
      </c>
      <c r="W489" s="81">
        <v>8.8000000000000007</v>
      </c>
      <c r="X489" s="81">
        <v>12.4</v>
      </c>
      <c r="Y489" s="81">
        <v>11.8</v>
      </c>
      <c r="Z489" s="81">
        <v>13.7</v>
      </c>
      <c r="AA489" s="81">
        <v>11.2</v>
      </c>
      <c r="AC489" s="111" t="s">
        <v>55</v>
      </c>
      <c r="AD489" s="70">
        <f t="shared" si="602"/>
        <v>9296.9500000000007</v>
      </c>
      <c r="AE489" s="70">
        <f t="shared" si="583"/>
        <v>11572.105999999998</v>
      </c>
      <c r="AF489" s="70">
        <f t="shared" si="584"/>
        <v>10586.55</v>
      </c>
      <c r="AG489" s="70">
        <f t="shared" si="585"/>
        <v>12048.888000000001</v>
      </c>
      <c r="AH489" s="70">
        <f t="shared" si="586"/>
        <v>13950.464000000002</v>
      </c>
      <c r="AI489" s="70">
        <f t="shared" si="587"/>
        <v>14205.191999999999</v>
      </c>
      <c r="AJ489" s="70">
        <f t="shared" si="588"/>
        <v>13068.5</v>
      </c>
      <c r="AK489" s="70">
        <f t="shared" si="599"/>
        <v>10811.765999999998</v>
      </c>
      <c r="AL489" s="70">
        <f t="shared" si="600"/>
        <v>11977.055999999999</v>
      </c>
      <c r="AN489" s="111" t="s">
        <v>55</v>
      </c>
      <c r="AO489" s="113">
        <f t="shared" ref="AO489:AW489" si="608">H489/H487</f>
        <v>0.13484847342062389</v>
      </c>
      <c r="AP489" s="113">
        <f t="shared" si="608"/>
        <v>0.14657117285046453</v>
      </c>
      <c r="AQ489" s="113">
        <f t="shared" si="608"/>
        <v>0.12567845746196366</v>
      </c>
      <c r="AR489" s="113">
        <f t="shared" si="608"/>
        <v>0.13383025780419036</v>
      </c>
      <c r="AS489" s="113">
        <f t="shared" si="608"/>
        <v>0.12767115785743624</v>
      </c>
      <c r="AT489" s="113">
        <f t="shared" si="608"/>
        <v>8.9697734654184763E-2</v>
      </c>
      <c r="AU489" s="113">
        <f t="shared" si="608"/>
        <v>8.8452814516644301E-2</v>
      </c>
      <c r="AV489" s="113">
        <f t="shared" si="608"/>
        <v>6.7915545756375637E-2</v>
      </c>
      <c r="AW489" s="113">
        <f t="shared" si="608"/>
        <v>8.7288060885663071E-2</v>
      </c>
      <c r="AY489" s="111" t="s">
        <v>55</v>
      </c>
      <c r="AZ489" s="179">
        <f t="shared" si="590"/>
        <v>1.7530301544681107E-2</v>
      </c>
      <c r="BA489" s="179">
        <f t="shared" si="591"/>
        <v>2.1399391236167822E-2</v>
      </c>
      <c r="BB489" s="179">
        <f t="shared" si="592"/>
        <v>1.8851768619294548E-2</v>
      </c>
      <c r="BC489" s="179">
        <f t="shared" si="593"/>
        <v>2.0342199186236934E-2</v>
      </c>
      <c r="BD489" s="179">
        <f t="shared" si="594"/>
        <v>2.2470123782908781E-2</v>
      </c>
      <c r="BE489" s="179">
        <f t="shared" si="595"/>
        <v>2.2245038194237822E-2</v>
      </c>
      <c r="BF489" s="179">
        <f t="shared" si="596"/>
        <v>2.0874864225928057E-2</v>
      </c>
      <c r="BG489" s="179">
        <f t="shared" si="597"/>
        <v>1.8608859537246926E-2</v>
      </c>
      <c r="BH489" s="179">
        <f t="shared" si="598"/>
        <v>1.9552525638388527E-2</v>
      </c>
    </row>
    <row r="490" spans="2:68" s="108" customFormat="1" x14ac:dyDescent="0.25">
      <c r="B490" s="107"/>
      <c r="E490" s="109" t="s">
        <v>1</v>
      </c>
      <c r="F490" s="110" t="s">
        <v>67</v>
      </c>
      <c r="G490" s="111" t="s">
        <v>130</v>
      </c>
      <c r="H490" s="70">
        <v>78516</v>
      </c>
      <c r="I490" s="70">
        <v>76572</v>
      </c>
      <c r="J490" s="70">
        <v>80772</v>
      </c>
      <c r="K490" s="70">
        <v>86148</v>
      </c>
      <c r="L490" s="70">
        <v>86593</v>
      </c>
      <c r="M490" s="70">
        <v>105845</v>
      </c>
      <c r="N490" s="70">
        <v>86858</v>
      </c>
      <c r="O490" s="112">
        <v>88465</v>
      </c>
      <c r="P490" s="112">
        <v>84802</v>
      </c>
      <c r="R490" s="111" t="s">
        <v>130</v>
      </c>
      <c r="S490" s="220">
        <v>6.1</v>
      </c>
      <c r="T490" s="220">
        <v>7.3</v>
      </c>
      <c r="U490" s="220">
        <v>7.2</v>
      </c>
      <c r="V490" s="220">
        <v>6.9</v>
      </c>
      <c r="W490" s="220">
        <v>8.1999999999999993</v>
      </c>
      <c r="X490" s="220">
        <v>8.3000000000000007</v>
      </c>
      <c r="Y490" s="220">
        <v>9</v>
      </c>
      <c r="Z490" s="220">
        <v>8.3000000000000007</v>
      </c>
      <c r="AA490" s="220">
        <v>8.6</v>
      </c>
      <c r="AC490" s="111" t="s">
        <v>130</v>
      </c>
      <c r="AD490" s="70">
        <f t="shared" si="602"/>
        <v>9578.9519999999993</v>
      </c>
      <c r="AE490" s="70">
        <f t="shared" si="583"/>
        <v>11179.511999999999</v>
      </c>
      <c r="AF490" s="70">
        <f t="shared" si="584"/>
        <v>11631.168</v>
      </c>
      <c r="AG490" s="70">
        <f t="shared" si="585"/>
        <v>11888.424000000001</v>
      </c>
      <c r="AH490" s="70">
        <f t="shared" si="586"/>
        <v>14201.252</v>
      </c>
      <c r="AI490" s="70">
        <f t="shared" si="587"/>
        <v>17570.270000000004</v>
      </c>
      <c r="AJ490" s="70">
        <f t="shared" si="588"/>
        <v>15634.44</v>
      </c>
      <c r="AK490" s="70">
        <f t="shared" si="599"/>
        <v>14685.190000000002</v>
      </c>
      <c r="AL490" s="70">
        <f t="shared" si="600"/>
        <v>14585.944</v>
      </c>
      <c r="AN490" s="111" t="s">
        <v>130</v>
      </c>
      <c r="AO490" s="113">
        <f t="shared" ref="AO490:AW490" si="609">H490/H487</f>
        <v>0.14804953840584081</v>
      </c>
      <c r="AP490" s="113">
        <f t="shared" si="609"/>
        <v>0.14159861530268064</v>
      </c>
      <c r="AQ490" s="113">
        <f t="shared" si="609"/>
        <v>0.14383298193629265</v>
      </c>
      <c r="AR490" s="113">
        <f t="shared" si="609"/>
        <v>0.14544410865931692</v>
      </c>
      <c r="AS490" s="113">
        <f t="shared" si="609"/>
        <v>0.13947603669192793</v>
      </c>
      <c r="AT490" s="113">
        <f t="shared" si="609"/>
        <v>0.1657510907046594</v>
      </c>
      <c r="AU490" s="113">
        <f t="shared" si="609"/>
        <v>0.13874193342278449</v>
      </c>
      <c r="AV490" s="113">
        <f t="shared" si="609"/>
        <v>0.15226307699986746</v>
      </c>
      <c r="AW490" s="113">
        <f t="shared" si="609"/>
        <v>0.13843913555940826</v>
      </c>
      <c r="AY490" s="111" t="s">
        <v>130</v>
      </c>
      <c r="AZ490" s="179">
        <f t="shared" si="590"/>
        <v>1.8062043685512577E-2</v>
      </c>
      <c r="BA490" s="179">
        <f t="shared" si="591"/>
        <v>2.0673397834191372E-2</v>
      </c>
      <c r="BB490" s="179">
        <f t="shared" si="592"/>
        <v>2.0711949398826143E-2</v>
      </c>
      <c r="BC490" s="179">
        <f t="shared" si="593"/>
        <v>2.0071286994985737E-2</v>
      </c>
      <c r="BD490" s="179">
        <f t="shared" si="594"/>
        <v>2.287407001747618E-2</v>
      </c>
      <c r="BE490" s="179">
        <f t="shared" si="595"/>
        <v>2.7514681056973463E-2</v>
      </c>
      <c r="BF490" s="179">
        <f t="shared" si="596"/>
        <v>2.4973548016101205E-2</v>
      </c>
      <c r="BG490" s="179">
        <f t="shared" si="597"/>
        <v>2.5275670781978E-2</v>
      </c>
      <c r="BH490" s="179">
        <f t="shared" si="598"/>
        <v>2.3811531316218222E-2</v>
      </c>
    </row>
    <row r="491" spans="2:68" s="108" customFormat="1" x14ac:dyDescent="0.25">
      <c r="B491" s="107"/>
      <c r="E491" s="109" t="s">
        <v>1</v>
      </c>
      <c r="F491" s="110" t="s">
        <v>67</v>
      </c>
      <c r="G491" s="111" t="s">
        <v>131</v>
      </c>
      <c r="H491" s="112">
        <v>224895</v>
      </c>
      <c r="I491" s="112">
        <v>235423</v>
      </c>
      <c r="J491" s="112">
        <v>251064</v>
      </c>
      <c r="K491" s="112">
        <v>276053</v>
      </c>
      <c r="L491" s="112">
        <v>316117</v>
      </c>
      <c r="M491" s="112">
        <v>340289</v>
      </c>
      <c r="N491" s="112">
        <v>352387</v>
      </c>
      <c r="O491" s="112">
        <v>337407</v>
      </c>
      <c r="P491" s="112">
        <v>370912</v>
      </c>
      <c r="R491" s="111" t="s">
        <v>131</v>
      </c>
      <c r="S491" s="220">
        <v>3.5</v>
      </c>
      <c r="T491" s="220">
        <v>3.2</v>
      </c>
      <c r="U491" s="220">
        <v>3.2</v>
      </c>
      <c r="V491" s="220">
        <v>4.2</v>
      </c>
      <c r="W491" s="220">
        <v>3.3</v>
      </c>
      <c r="X491" s="220">
        <v>3.7</v>
      </c>
      <c r="Y491" s="220">
        <v>3.4</v>
      </c>
      <c r="Z491" s="220">
        <v>3.4</v>
      </c>
      <c r="AA491" s="220">
        <v>2.4</v>
      </c>
      <c r="AC491" s="111" t="s">
        <v>131</v>
      </c>
      <c r="AD491" s="112">
        <f t="shared" si="602"/>
        <v>15742.65</v>
      </c>
      <c r="AE491" s="112">
        <f t="shared" si="583"/>
        <v>15067.072000000002</v>
      </c>
      <c r="AF491" s="112">
        <f t="shared" si="584"/>
        <v>16068.096000000001</v>
      </c>
      <c r="AG491" s="112">
        <f t="shared" si="585"/>
        <v>23188.452000000001</v>
      </c>
      <c r="AH491" s="112">
        <f t="shared" si="586"/>
        <v>20863.721999999998</v>
      </c>
      <c r="AI491" s="112">
        <f t="shared" si="587"/>
        <v>25181.386000000002</v>
      </c>
      <c r="AJ491" s="112">
        <f t="shared" si="588"/>
        <v>23962.316000000003</v>
      </c>
      <c r="AK491" s="112">
        <f t="shared" si="599"/>
        <v>22943.675999999999</v>
      </c>
      <c r="AL491" s="112">
        <f t="shared" si="600"/>
        <v>17803.775999999998</v>
      </c>
      <c r="AN491" s="111" t="s">
        <v>131</v>
      </c>
      <c r="AO491" s="113">
        <f t="shared" ref="AO491:AW491" si="610">H491/H487</f>
        <v>0.42406134978579618</v>
      </c>
      <c r="AP491" s="113">
        <f t="shared" si="610"/>
        <v>0.43534935499141963</v>
      </c>
      <c r="AQ491" s="113">
        <f t="shared" si="610"/>
        <v>0.44707675651034245</v>
      </c>
      <c r="AR491" s="113">
        <f t="shared" si="610"/>
        <v>0.46606169066873765</v>
      </c>
      <c r="AS491" s="113">
        <f t="shared" si="610"/>
        <v>0.50917217663023784</v>
      </c>
      <c r="AT491" s="113">
        <f t="shared" si="610"/>
        <v>0.53288556762055694</v>
      </c>
      <c r="AU491" s="113">
        <f t="shared" si="610"/>
        <v>0.56288256341447829</v>
      </c>
      <c r="AV491" s="113">
        <f t="shared" si="610"/>
        <v>0.58073394021697033</v>
      </c>
      <c r="AW491" s="113">
        <f t="shared" si="610"/>
        <v>0.60551327384508891</v>
      </c>
      <c r="AY491" s="111" t="s">
        <v>131</v>
      </c>
      <c r="AZ491" s="179">
        <f t="shared" si="590"/>
        <v>2.968429448500573E-2</v>
      </c>
      <c r="BA491" s="179">
        <f t="shared" si="591"/>
        <v>2.786235871945086E-2</v>
      </c>
      <c r="BB491" s="179">
        <f t="shared" si="592"/>
        <v>2.8612912416661921E-2</v>
      </c>
      <c r="BC491" s="179">
        <f t="shared" si="593"/>
        <v>3.9149182016173963E-2</v>
      </c>
      <c r="BD491" s="179">
        <f t="shared" si="594"/>
        <v>3.3605363657595692E-2</v>
      </c>
      <c r="BE491" s="179">
        <f t="shared" si="595"/>
        <v>3.9433532003921218E-2</v>
      </c>
      <c r="BF491" s="179">
        <f t="shared" si="596"/>
        <v>3.8276014312184518E-2</v>
      </c>
      <c r="BG491" s="179">
        <f t="shared" si="597"/>
        <v>3.948990793475398E-2</v>
      </c>
      <c r="BH491" s="179">
        <f t="shared" si="598"/>
        <v>2.9064637144564264E-2</v>
      </c>
    </row>
    <row r="492" spans="2:68" s="87" customFormat="1" x14ac:dyDescent="0.25">
      <c r="B492" s="84"/>
      <c r="C492" s="85"/>
      <c r="D492" s="85"/>
      <c r="E492" s="109" t="s">
        <v>2</v>
      </c>
      <c r="F492" s="110" t="s">
        <v>67</v>
      </c>
      <c r="G492" s="195" t="s">
        <v>7</v>
      </c>
      <c r="H492" s="69">
        <v>979850</v>
      </c>
      <c r="I492" s="69">
        <v>962369</v>
      </c>
      <c r="J492" s="69">
        <v>931852</v>
      </c>
      <c r="K492" s="69">
        <v>919853</v>
      </c>
      <c r="L492" s="69">
        <v>908046</v>
      </c>
      <c r="M492" s="69">
        <v>896728</v>
      </c>
      <c r="N492" s="69">
        <v>899894</v>
      </c>
      <c r="O492" s="69">
        <v>935105</v>
      </c>
      <c r="P492" s="69">
        <v>958577</v>
      </c>
      <c r="R492" s="195" t="s">
        <v>7</v>
      </c>
      <c r="S492" s="226">
        <v>0.7</v>
      </c>
      <c r="T492" s="226">
        <v>0.8</v>
      </c>
      <c r="U492" s="226">
        <v>0.7</v>
      </c>
      <c r="V492" s="226">
        <v>0.8</v>
      </c>
      <c r="W492" s="226">
        <v>0.9</v>
      </c>
      <c r="X492" s="226">
        <v>1</v>
      </c>
      <c r="Y492" s="226">
        <v>0.9</v>
      </c>
      <c r="Z492" s="226">
        <v>1</v>
      </c>
      <c r="AA492" s="226">
        <v>0.9</v>
      </c>
      <c r="AC492" s="195" t="s">
        <v>7</v>
      </c>
      <c r="AD492" s="69">
        <f t="shared" si="602"/>
        <v>13717.9</v>
      </c>
      <c r="AE492" s="69">
        <f t="shared" si="583"/>
        <v>15397.904000000002</v>
      </c>
      <c r="AF492" s="69">
        <f t="shared" si="584"/>
        <v>13045.927999999998</v>
      </c>
      <c r="AG492" s="69">
        <f t="shared" si="585"/>
        <v>14717.648000000001</v>
      </c>
      <c r="AH492" s="69">
        <f t="shared" si="586"/>
        <v>16344.828000000001</v>
      </c>
      <c r="AI492" s="69">
        <f t="shared" si="587"/>
        <v>17934.560000000001</v>
      </c>
      <c r="AJ492" s="69">
        <f t="shared" si="588"/>
        <v>16198.091999999999</v>
      </c>
      <c r="AK492" s="69">
        <f t="shared" si="599"/>
        <v>18702.099999999999</v>
      </c>
      <c r="AL492" s="69">
        <f t="shared" si="600"/>
        <v>17254.386000000002</v>
      </c>
      <c r="AN492" s="195" t="s">
        <v>7</v>
      </c>
      <c r="AO492" s="98">
        <f t="shared" ref="AO492:AW492" si="611">H492/H492</f>
        <v>1</v>
      </c>
      <c r="AP492" s="98">
        <f t="shared" si="611"/>
        <v>1</v>
      </c>
      <c r="AQ492" s="98">
        <f t="shared" si="611"/>
        <v>1</v>
      </c>
      <c r="AR492" s="98">
        <f t="shared" si="611"/>
        <v>1</v>
      </c>
      <c r="AS492" s="98">
        <f t="shared" si="611"/>
        <v>1</v>
      </c>
      <c r="AT492" s="98">
        <f t="shared" si="611"/>
        <v>1</v>
      </c>
      <c r="AU492" s="98">
        <f t="shared" si="611"/>
        <v>1</v>
      </c>
      <c r="AV492" s="98">
        <f t="shared" si="611"/>
        <v>1</v>
      </c>
      <c r="AW492" s="98">
        <f t="shared" si="611"/>
        <v>1</v>
      </c>
      <c r="AX492" s="191"/>
      <c r="AY492" s="195" t="s">
        <v>7</v>
      </c>
      <c r="AZ492" s="178">
        <f t="shared" si="590"/>
        <v>1.3999999999999999E-2</v>
      </c>
      <c r="BA492" s="178">
        <f t="shared" si="591"/>
        <v>1.6E-2</v>
      </c>
      <c r="BB492" s="178">
        <f t="shared" si="592"/>
        <v>1.3999999999999999E-2</v>
      </c>
      <c r="BC492" s="178">
        <f t="shared" si="593"/>
        <v>1.6E-2</v>
      </c>
      <c r="BD492" s="178">
        <f t="shared" si="594"/>
        <v>1.8000000000000002E-2</v>
      </c>
      <c r="BE492" s="178">
        <f t="shared" si="595"/>
        <v>0.02</v>
      </c>
      <c r="BF492" s="178">
        <f t="shared" si="596"/>
        <v>1.8000000000000002E-2</v>
      </c>
      <c r="BG492" s="178">
        <f t="shared" si="597"/>
        <v>0.02</v>
      </c>
      <c r="BH492" s="178">
        <f t="shared" si="598"/>
        <v>1.8000000000000002E-2</v>
      </c>
      <c r="BI492" s="191"/>
      <c r="BJ492" s="191"/>
      <c r="BK492" s="191"/>
      <c r="BL492" s="191"/>
      <c r="BM492" s="191"/>
      <c r="BN492" s="191"/>
      <c r="BO492" s="191"/>
      <c r="BP492" s="191"/>
    </row>
    <row r="493" spans="2:68" s="108" customFormat="1" x14ac:dyDescent="0.25">
      <c r="B493" s="107"/>
      <c r="E493" s="109" t="s">
        <v>2</v>
      </c>
      <c r="F493" s="110" t="s">
        <v>67</v>
      </c>
      <c r="G493" s="111" t="s">
        <v>54</v>
      </c>
      <c r="H493" s="112">
        <v>250569</v>
      </c>
      <c r="I493" s="112">
        <v>211225</v>
      </c>
      <c r="J493" s="112">
        <v>186009</v>
      </c>
      <c r="K493" s="112">
        <v>186755</v>
      </c>
      <c r="L493" s="112">
        <v>187606</v>
      </c>
      <c r="M493" s="112">
        <v>165865</v>
      </c>
      <c r="N493" s="112">
        <v>180427</v>
      </c>
      <c r="O493" s="112">
        <v>162481</v>
      </c>
      <c r="P493" s="112">
        <v>145176</v>
      </c>
      <c r="R493" s="111" t="s">
        <v>54</v>
      </c>
      <c r="S493" s="220">
        <v>3.5</v>
      </c>
      <c r="T493" s="220">
        <v>4.2</v>
      </c>
      <c r="U493" s="220">
        <v>4.7</v>
      </c>
      <c r="V493" s="220">
        <v>5.5</v>
      </c>
      <c r="W493" s="220">
        <v>5.9</v>
      </c>
      <c r="X493" s="220">
        <v>6.8</v>
      </c>
      <c r="Y493" s="220">
        <v>5.7</v>
      </c>
      <c r="Z493" s="220">
        <v>6.2</v>
      </c>
      <c r="AA493" s="220">
        <v>6.7</v>
      </c>
      <c r="AC493" s="111" t="s">
        <v>54</v>
      </c>
      <c r="AD493" s="112">
        <f t="shared" si="602"/>
        <v>17539.830000000002</v>
      </c>
      <c r="AE493" s="112">
        <f t="shared" si="583"/>
        <v>17742.900000000001</v>
      </c>
      <c r="AF493" s="112">
        <f t="shared" si="584"/>
        <v>17484.846000000001</v>
      </c>
      <c r="AG493" s="112">
        <f t="shared" si="585"/>
        <v>20543.05</v>
      </c>
      <c r="AH493" s="112">
        <f t="shared" si="586"/>
        <v>22137.508000000002</v>
      </c>
      <c r="AI493" s="112">
        <f t="shared" si="587"/>
        <v>22557.64</v>
      </c>
      <c r="AJ493" s="112">
        <f t="shared" si="588"/>
        <v>20568.678</v>
      </c>
      <c r="AK493" s="112">
        <f t="shared" si="599"/>
        <v>20147.644</v>
      </c>
      <c r="AL493" s="112">
        <f t="shared" si="600"/>
        <v>19453.584000000003</v>
      </c>
      <c r="AN493" s="111" t="s">
        <v>54</v>
      </c>
      <c r="AO493" s="113">
        <f t="shared" ref="AO493:AW493" si="612">H493/H492</f>
        <v>0.25572179415216617</v>
      </c>
      <c r="AP493" s="113">
        <f t="shared" si="612"/>
        <v>0.21948441813898828</v>
      </c>
      <c r="AQ493" s="113">
        <f t="shared" si="612"/>
        <v>0.19961217017294591</v>
      </c>
      <c r="AR493" s="113">
        <f t="shared" si="612"/>
        <v>0.20302700540195009</v>
      </c>
      <c r="AS493" s="113">
        <f t="shared" si="612"/>
        <v>0.20660407071888429</v>
      </c>
      <c r="AT493" s="113">
        <f t="shared" si="612"/>
        <v>0.18496690189221257</v>
      </c>
      <c r="AU493" s="113">
        <f t="shared" si="612"/>
        <v>0.2004980586602422</v>
      </c>
      <c r="AV493" s="113">
        <f t="shared" si="612"/>
        <v>0.17375695777479536</v>
      </c>
      <c r="AW493" s="113">
        <f t="shared" si="612"/>
        <v>0.1514494923203874</v>
      </c>
      <c r="AY493" s="111" t="s">
        <v>54</v>
      </c>
      <c r="AZ493" s="179">
        <f t="shared" si="590"/>
        <v>1.7900525590651632E-2</v>
      </c>
      <c r="BA493" s="179">
        <f t="shared" si="591"/>
        <v>1.8436691123675016E-2</v>
      </c>
      <c r="BB493" s="179">
        <f t="shared" si="592"/>
        <v>1.8763543996256918E-2</v>
      </c>
      <c r="BC493" s="179">
        <f t="shared" si="593"/>
        <v>2.2332970594214512E-2</v>
      </c>
      <c r="BD493" s="179">
        <f t="shared" si="594"/>
        <v>2.4379280344828346E-2</v>
      </c>
      <c r="BE493" s="179">
        <f t="shared" si="595"/>
        <v>2.5155498657340913E-2</v>
      </c>
      <c r="BF493" s="179">
        <f t="shared" si="596"/>
        <v>2.2856778687267612E-2</v>
      </c>
      <c r="BG493" s="179">
        <f t="shared" si="597"/>
        <v>2.1545862764074622E-2</v>
      </c>
      <c r="BH493" s="179">
        <f t="shared" si="598"/>
        <v>2.0294231970931911E-2</v>
      </c>
    </row>
    <row r="494" spans="2:68" s="108" customFormat="1" x14ac:dyDescent="0.25">
      <c r="B494" s="107"/>
      <c r="E494" s="109" t="s">
        <v>2</v>
      </c>
      <c r="F494" s="110" t="s">
        <v>67</v>
      </c>
      <c r="G494" s="111" t="s">
        <v>55</v>
      </c>
      <c r="H494" s="70">
        <v>237872</v>
      </c>
      <c r="I494" s="70">
        <v>233039</v>
      </c>
      <c r="J494" s="70">
        <v>217826</v>
      </c>
      <c r="K494" s="70">
        <v>213845</v>
      </c>
      <c r="L494" s="70">
        <v>192835</v>
      </c>
      <c r="M494" s="70">
        <v>211255</v>
      </c>
      <c r="N494" s="70">
        <v>192650</v>
      </c>
      <c r="O494" s="112">
        <v>207064</v>
      </c>
      <c r="P494" s="112">
        <v>212327</v>
      </c>
      <c r="R494" s="111" t="s">
        <v>55</v>
      </c>
      <c r="S494" s="81">
        <v>3.6</v>
      </c>
      <c r="T494" s="81">
        <v>4.2</v>
      </c>
      <c r="U494" s="81">
        <v>4.2</v>
      </c>
      <c r="V494" s="81">
        <v>4.4000000000000004</v>
      </c>
      <c r="W494" s="81">
        <v>5.9</v>
      </c>
      <c r="X494" s="81">
        <v>5.0999999999999996</v>
      </c>
      <c r="Y494" s="81">
        <v>6.5</v>
      </c>
      <c r="Z494" s="81">
        <v>5.2</v>
      </c>
      <c r="AA494" s="81">
        <v>5.2</v>
      </c>
      <c r="AC494" s="111" t="s">
        <v>55</v>
      </c>
      <c r="AD494" s="70">
        <f t="shared" si="602"/>
        <v>17126.784</v>
      </c>
      <c r="AE494" s="70">
        <f t="shared" si="583"/>
        <v>19575.276000000002</v>
      </c>
      <c r="AF494" s="70">
        <f t="shared" si="584"/>
        <v>18297.384000000002</v>
      </c>
      <c r="AG494" s="70">
        <f t="shared" si="585"/>
        <v>18818.36</v>
      </c>
      <c r="AH494" s="70">
        <f t="shared" si="586"/>
        <v>22754.53</v>
      </c>
      <c r="AI494" s="70">
        <f t="shared" si="587"/>
        <v>21548.01</v>
      </c>
      <c r="AJ494" s="70">
        <f t="shared" si="588"/>
        <v>25044.5</v>
      </c>
      <c r="AK494" s="70">
        <f t="shared" si="599"/>
        <v>21534.656000000003</v>
      </c>
      <c r="AL494" s="70">
        <f t="shared" si="600"/>
        <v>22082.008000000002</v>
      </c>
      <c r="AN494" s="111" t="s">
        <v>55</v>
      </c>
      <c r="AO494" s="113">
        <f t="shared" ref="AO494:AW494" si="613">H494/H492</f>
        <v>0.24276368831964076</v>
      </c>
      <c r="AP494" s="113">
        <f t="shared" si="613"/>
        <v>0.24215139930733429</v>
      </c>
      <c r="AQ494" s="113">
        <f t="shared" si="613"/>
        <v>0.23375600417233638</v>
      </c>
      <c r="AR494" s="113">
        <f t="shared" si="613"/>
        <v>0.23247736323086407</v>
      </c>
      <c r="AS494" s="113">
        <f t="shared" si="613"/>
        <v>0.21236258956044077</v>
      </c>
      <c r="AT494" s="113">
        <f t="shared" si="613"/>
        <v>0.23558425743369227</v>
      </c>
      <c r="AU494" s="113">
        <f t="shared" si="613"/>
        <v>0.21408076951285374</v>
      </c>
      <c r="AV494" s="113">
        <f t="shared" si="613"/>
        <v>0.22143395661449783</v>
      </c>
      <c r="AW494" s="113">
        <f t="shared" si="613"/>
        <v>0.2215022893309562</v>
      </c>
      <c r="AY494" s="111" t="s">
        <v>55</v>
      </c>
      <c r="AZ494" s="179">
        <f t="shared" si="590"/>
        <v>1.7478985559014136E-2</v>
      </c>
      <c r="BA494" s="179">
        <f t="shared" si="591"/>
        <v>2.0340717541816083E-2</v>
      </c>
      <c r="BB494" s="179">
        <f t="shared" si="592"/>
        <v>1.9635504350476257E-2</v>
      </c>
      <c r="BC494" s="179">
        <f t="shared" si="593"/>
        <v>2.045800796431604E-2</v>
      </c>
      <c r="BD494" s="179">
        <f t="shared" si="594"/>
        <v>2.5058785568132014E-2</v>
      </c>
      <c r="BE494" s="179">
        <f t="shared" si="595"/>
        <v>2.4029594258236607E-2</v>
      </c>
      <c r="BF494" s="179">
        <f t="shared" si="596"/>
        <v>2.7830500036670983E-2</v>
      </c>
      <c r="BG494" s="179">
        <f t="shared" si="597"/>
        <v>2.3029131487907778E-2</v>
      </c>
      <c r="BH494" s="179">
        <f t="shared" si="598"/>
        <v>2.3036238090419447E-2</v>
      </c>
    </row>
    <row r="495" spans="2:68" s="108" customFormat="1" x14ac:dyDescent="0.25">
      <c r="B495" s="107"/>
      <c r="E495" s="109" t="s">
        <v>2</v>
      </c>
      <c r="F495" s="110" t="s">
        <v>67</v>
      </c>
      <c r="G495" s="111" t="s">
        <v>130</v>
      </c>
      <c r="H495" s="70">
        <v>129980</v>
      </c>
      <c r="I495" s="70">
        <v>151988</v>
      </c>
      <c r="J495" s="70">
        <v>141585</v>
      </c>
      <c r="K495" s="70">
        <v>129150</v>
      </c>
      <c r="L495" s="70">
        <v>121544</v>
      </c>
      <c r="M495" s="70">
        <v>139436</v>
      </c>
      <c r="N495" s="70">
        <v>140751</v>
      </c>
      <c r="O495" s="112">
        <v>128686</v>
      </c>
      <c r="P495" s="112">
        <v>155901</v>
      </c>
      <c r="R495" s="111" t="s">
        <v>130</v>
      </c>
      <c r="S495" s="220">
        <v>4.9000000000000004</v>
      </c>
      <c r="T495" s="220">
        <v>5</v>
      </c>
      <c r="U495" s="220">
        <v>5.6</v>
      </c>
      <c r="V495" s="220">
        <v>5.9</v>
      </c>
      <c r="W495" s="220">
        <v>7.6</v>
      </c>
      <c r="X495" s="220">
        <v>6.9</v>
      </c>
      <c r="Y495" s="220">
        <v>7.4</v>
      </c>
      <c r="Z495" s="220">
        <v>7</v>
      </c>
      <c r="AA495" s="220">
        <v>6.1</v>
      </c>
      <c r="AC495" s="111" t="s">
        <v>130</v>
      </c>
      <c r="AD495" s="70">
        <f t="shared" si="602"/>
        <v>12738.04</v>
      </c>
      <c r="AE495" s="70">
        <f t="shared" si="583"/>
        <v>15198.8</v>
      </c>
      <c r="AF495" s="70">
        <f t="shared" si="584"/>
        <v>15857.52</v>
      </c>
      <c r="AG495" s="70">
        <f t="shared" si="585"/>
        <v>15239.7</v>
      </c>
      <c r="AH495" s="70">
        <f t="shared" si="586"/>
        <v>18474.687999999998</v>
      </c>
      <c r="AI495" s="70">
        <f t="shared" si="587"/>
        <v>19242.168000000001</v>
      </c>
      <c r="AJ495" s="70">
        <f t="shared" si="588"/>
        <v>20831.148000000001</v>
      </c>
      <c r="AK495" s="70">
        <f t="shared" si="599"/>
        <v>18016.04</v>
      </c>
      <c r="AL495" s="70">
        <f t="shared" si="600"/>
        <v>19019.921999999999</v>
      </c>
      <c r="AN495" s="111" t="s">
        <v>130</v>
      </c>
      <c r="AO495" s="113">
        <f t="shared" ref="AO495:AW495" si="614">H495/H492</f>
        <v>0.13265295708526814</v>
      </c>
      <c r="AP495" s="113">
        <f t="shared" si="614"/>
        <v>0.15793110542837518</v>
      </c>
      <c r="AQ495" s="113">
        <f t="shared" si="614"/>
        <v>0.15193936376162739</v>
      </c>
      <c r="AR495" s="113">
        <f t="shared" si="614"/>
        <v>0.14040286871924101</v>
      </c>
      <c r="AS495" s="113">
        <f t="shared" si="614"/>
        <v>0.13385224977589241</v>
      </c>
      <c r="AT495" s="113">
        <f t="shared" si="614"/>
        <v>0.15549419667948364</v>
      </c>
      <c r="AU495" s="113">
        <f t="shared" si="614"/>
        <v>0.15640842143630249</v>
      </c>
      <c r="AV495" s="113">
        <f t="shared" si="614"/>
        <v>0.13761663128739554</v>
      </c>
      <c r="AW495" s="113">
        <f t="shared" si="614"/>
        <v>0.16263795188075658</v>
      </c>
      <c r="AY495" s="111" t="s">
        <v>130</v>
      </c>
      <c r="AZ495" s="179">
        <f t="shared" si="590"/>
        <v>1.2999989794356279E-2</v>
      </c>
      <c r="BA495" s="179">
        <f t="shared" si="591"/>
        <v>1.5793110542837517E-2</v>
      </c>
      <c r="BB495" s="179">
        <f t="shared" si="592"/>
        <v>1.7017208741302269E-2</v>
      </c>
      <c r="BC495" s="179">
        <f t="shared" si="593"/>
        <v>1.6567538508870442E-2</v>
      </c>
      <c r="BD495" s="179">
        <f t="shared" si="594"/>
        <v>2.0345541965935646E-2</v>
      </c>
      <c r="BE495" s="179">
        <f t="shared" si="595"/>
        <v>2.145819914176874E-2</v>
      </c>
      <c r="BF495" s="179">
        <f t="shared" si="596"/>
        <v>2.3148446372572771E-2</v>
      </c>
      <c r="BG495" s="179">
        <f t="shared" si="597"/>
        <v>1.9266328380235377E-2</v>
      </c>
      <c r="BH495" s="179">
        <f t="shared" si="598"/>
        <v>1.9841830129452301E-2</v>
      </c>
    </row>
    <row r="496" spans="2:68" s="108" customFormat="1" x14ac:dyDescent="0.25">
      <c r="B496" s="107"/>
      <c r="E496" s="109" t="s">
        <v>2</v>
      </c>
      <c r="F496" s="110" t="s">
        <v>67</v>
      </c>
      <c r="G496" s="111" t="s">
        <v>131</v>
      </c>
      <c r="H496" s="112">
        <v>361323</v>
      </c>
      <c r="I496" s="112">
        <v>366116</v>
      </c>
      <c r="J496" s="112">
        <v>386046</v>
      </c>
      <c r="K496" s="112">
        <v>389951</v>
      </c>
      <c r="L496" s="112">
        <v>406062</v>
      </c>
      <c r="M496" s="112">
        <v>380172</v>
      </c>
      <c r="N496" s="112">
        <v>386066</v>
      </c>
      <c r="O496" s="112">
        <v>436874</v>
      </c>
      <c r="P496" s="112">
        <v>445173</v>
      </c>
      <c r="R496" s="111" t="s">
        <v>131</v>
      </c>
      <c r="S496" s="220">
        <v>2.8</v>
      </c>
      <c r="T496" s="220">
        <v>2.9</v>
      </c>
      <c r="U496" s="220">
        <v>2.8</v>
      </c>
      <c r="V496" s="220">
        <v>2.9</v>
      </c>
      <c r="W496" s="220">
        <v>3.1</v>
      </c>
      <c r="X496" s="220">
        <v>3.7</v>
      </c>
      <c r="Y496" s="220">
        <v>3.5</v>
      </c>
      <c r="Z496" s="220">
        <v>3.3</v>
      </c>
      <c r="AA496" s="220">
        <v>2.9</v>
      </c>
      <c r="AC496" s="111" t="s">
        <v>131</v>
      </c>
      <c r="AD496" s="112">
        <f t="shared" si="602"/>
        <v>20234.088</v>
      </c>
      <c r="AE496" s="112">
        <f t="shared" si="583"/>
        <v>21234.727999999999</v>
      </c>
      <c r="AF496" s="112">
        <f t="shared" si="584"/>
        <v>21618.576000000001</v>
      </c>
      <c r="AG496" s="112">
        <f t="shared" si="585"/>
        <v>22617.157999999999</v>
      </c>
      <c r="AH496" s="112">
        <f t="shared" si="586"/>
        <v>25175.843999999997</v>
      </c>
      <c r="AI496" s="112">
        <f t="shared" si="587"/>
        <v>28132.728000000003</v>
      </c>
      <c r="AJ496" s="112">
        <f t="shared" si="588"/>
        <v>27024.62</v>
      </c>
      <c r="AK496" s="112">
        <f t="shared" si="599"/>
        <v>28833.683999999997</v>
      </c>
      <c r="AL496" s="112">
        <f t="shared" si="600"/>
        <v>25820.034</v>
      </c>
      <c r="AN496" s="111" t="s">
        <v>131</v>
      </c>
      <c r="AO496" s="113">
        <f t="shared" ref="AO496:AW496" si="615">H496/H492</f>
        <v>0.3687533806194826</v>
      </c>
      <c r="AP496" s="113">
        <f t="shared" si="615"/>
        <v>0.38043203802283737</v>
      </c>
      <c r="AQ496" s="113">
        <f t="shared" si="615"/>
        <v>0.41427823302412831</v>
      </c>
      <c r="AR496" s="113">
        <f t="shared" si="615"/>
        <v>0.42392751885355595</v>
      </c>
      <c r="AS496" s="113">
        <f t="shared" si="615"/>
        <v>0.44718219121057745</v>
      </c>
      <c r="AT496" s="113">
        <f t="shared" si="615"/>
        <v>0.42395464399461152</v>
      </c>
      <c r="AU496" s="113">
        <f t="shared" si="615"/>
        <v>0.42901275039060155</v>
      </c>
      <c r="AV496" s="113">
        <f t="shared" si="615"/>
        <v>0.4671924543233113</v>
      </c>
      <c r="AW496" s="113">
        <f t="shared" si="615"/>
        <v>0.46441026646789979</v>
      </c>
      <c r="AY496" s="111" t="s">
        <v>131</v>
      </c>
      <c r="AZ496" s="179">
        <f t="shared" si="590"/>
        <v>2.0650189314691026E-2</v>
      </c>
      <c r="BA496" s="179">
        <f t="shared" si="591"/>
        <v>2.2065058205324565E-2</v>
      </c>
      <c r="BB496" s="179">
        <f t="shared" si="592"/>
        <v>2.3199581049351187E-2</v>
      </c>
      <c r="BC496" s="179">
        <f t="shared" si="593"/>
        <v>2.4587796093506243E-2</v>
      </c>
      <c r="BD496" s="179">
        <f t="shared" si="594"/>
        <v>2.7725295855055804E-2</v>
      </c>
      <c r="BE496" s="179">
        <f t="shared" si="595"/>
        <v>3.1372643655601253E-2</v>
      </c>
      <c r="BF496" s="179">
        <f t="shared" si="596"/>
        <v>3.0030892527342111E-2</v>
      </c>
      <c r="BG496" s="179">
        <f t="shared" si="597"/>
        <v>3.0834701985338542E-2</v>
      </c>
      <c r="BH496" s="179">
        <f t="shared" si="598"/>
        <v>2.6935795455138186E-2</v>
      </c>
    </row>
    <row r="497" spans="2:68" s="87" customFormat="1" x14ac:dyDescent="0.25">
      <c r="B497" s="84"/>
      <c r="C497" s="85"/>
      <c r="D497" s="85"/>
      <c r="E497" s="109" t="s">
        <v>3</v>
      </c>
      <c r="F497" s="110" t="s">
        <v>67</v>
      </c>
      <c r="G497" s="195" t="s">
        <v>7</v>
      </c>
      <c r="H497" s="69">
        <v>977665</v>
      </c>
      <c r="I497" s="69">
        <v>1060400</v>
      </c>
      <c r="J497" s="69">
        <v>1126048</v>
      </c>
      <c r="K497" s="69">
        <v>1215515</v>
      </c>
      <c r="L497" s="69">
        <v>1278016</v>
      </c>
      <c r="M497" s="69">
        <v>1303307</v>
      </c>
      <c r="N497" s="69">
        <v>1300154</v>
      </c>
      <c r="O497" s="69">
        <v>1311209</v>
      </c>
      <c r="P497" s="69">
        <v>1310068</v>
      </c>
      <c r="R497" s="195" t="s">
        <v>7</v>
      </c>
      <c r="S497" s="226">
        <v>0.7</v>
      </c>
      <c r="T497" s="226">
        <v>0.7</v>
      </c>
      <c r="U497" s="226">
        <v>0.5</v>
      </c>
      <c r="V497" s="226">
        <v>1.8</v>
      </c>
      <c r="W497" s="226">
        <v>0.7</v>
      </c>
      <c r="X497" s="226">
        <v>0.9</v>
      </c>
      <c r="Y497" s="226">
        <v>0.9</v>
      </c>
      <c r="Z497" s="226">
        <v>0.8</v>
      </c>
      <c r="AA497" s="226">
        <v>0.9</v>
      </c>
      <c r="AC497" s="195" t="s">
        <v>7</v>
      </c>
      <c r="AD497" s="69">
        <f t="shared" si="602"/>
        <v>13687.31</v>
      </c>
      <c r="AE497" s="69">
        <f t="shared" si="583"/>
        <v>14845.6</v>
      </c>
      <c r="AF497" s="69">
        <f t="shared" si="584"/>
        <v>11260.48</v>
      </c>
      <c r="AG497" s="69">
        <f t="shared" si="585"/>
        <v>43758.54</v>
      </c>
      <c r="AH497" s="69">
        <f t="shared" si="586"/>
        <v>17892.223999999998</v>
      </c>
      <c r="AI497" s="69">
        <f t="shared" si="587"/>
        <v>23459.526000000002</v>
      </c>
      <c r="AJ497" s="69">
        <f t="shared" si="588"/>
        <v>23402.772000000001</v>
      </c>
      <c r="AK497" s="69">
        <f t="shared" si="599"/>
        <v>20979.343999999997</v>
      </c>
      <c r="AL497" s="69">
        <f t="shared" si="600"/>
        <v>23581.223999999998</v>
      </c>
      <c r="AN497" s="195" t="s">
        <v>7</v>
      </c>
      <c r="AO497" s="98">
        <f t="shared" ref="AO497:AW497" si="616">H497/H497</f>
        <v>1</v>
      </c>
      <c r="AP497" s="98">
        <f t="shared" si="616"/>
        <v>1</v>
      </c>
      <c r="AQ497" s="98">
        <f t="shared" si="616"/>
        <v>1</v>
      </c>
      <c r="AR497" s="98">
        <f t="shared" si="616"/>
        <v>1</v>
      </c>
      <c r="AS497" s="98">
        <f t="shared" si="616"/>
        <v>1</v>
      </c>
      <c r="AT497" s="98">
        <f t="shared" si="616"/>
        <v>1</v>
      </c>
      <c r="AU497" s="98">
        <f t="shared" si="616"/>
        <v>1</v>
      </c>
      <c r="AV497" s="98">
        <f t="shared" si="616"/>
        <v>1</v>
      </c>
      <c r="AW497" s="98">
        <f t="shared" si="616"/>
        <v>1</v>
      </c>
      <c r="AX497" s="191"/>
      <c r="AY497" s="195" t="s">
        <v>7</v>
      </c>
      <c r="AZ497" s="178">
        <f t="shared" si="590"/>
        <v>1.3999999999999999E-2</v>
      </c>
      <c r="BA497" s="178">
        <f t="shared" si="591"/>
        <v>1.3999999999999999E-2</v>
      </c>
      <c r="BB497" s="178">
        <f t="shared" si="592"/>
        <v>0.01</v>
      </c>
      <c r="BC497" s="178">
        <f t="shared" si="593"/>
        <v>3.6000000000000004E-2</v>
      </c>
      <c r="BD497" s="178">
        <f t="shared" si="594"/>
        <v>1.3999999999999999E-2</v>
      </c>
      <c r="BE497" s="178">
        <f t="shared" si="595"/>
        <v>1.8000000000000002E-2</v>
      </c>
      <c r="BF497" s="178">
        <f t="shared" si="596"/>
        <v>1.8000000000000002E-2</v>
      </c>
      <c r="BG497" s="178">
        <f t="shared" si="597"/>
        <v>1.6E-2</v>
      </c>
      <c r="BH497" s="178">
        <f t="shared" si="598"/>
        <v>1.8000000000000002E-2</v>
      </c>
      <c r="BI497" s="191"/>
      <c r="BJ497" s="191"/>
      <c r="BK497" s="191"/>
      <c r="BL497" s="191"/>
      <c r="BM497" s="191"/>
      <c r="BN497" s="191"/>
      <c r="BO497" s="191"/>
      <c r="BP497" s="191"/>
    </row>
    <row r="498" spans="2:68" s="108" customFormat="1" x14ac:dyDescent="0.25">
      <c r="B498" s="107"/>
      <c r="E498" s="109" t="s">
        <v>3</v>
      </c>
      <c r="F498" s="110" t="s">
        <v>67</v>
      </c>
      <c r="G498" s="111" t="s">
        <v>54</v>
      </c>
      <c r="H498" s="112">
        <v>203053</v>
      </c>
      <c r="I498" s="112">
        <v>199079</v>
      </c>
      <c r="J498" s="112">
        <v>200554</v>
      </c>
      <c r="K498" s="112">
        <v>239699</v>
      </c>
      <c r="L498" s="112">
        <v>224495</v>
      </c>
      <c r="M498" s="112">
        <v>215694</v>
      </c>
      <c r="N498" s="112">
        <v>204700</v>
      </c>
      <c r="O498" s="112">
        <v>205156</v>
      </c>
      <c r="P498" s="112">
        <v>184920</v>
      </c>
      <c r="R498" s="111" t="s">
        <v>54</v>
      </c>
      <c r="S498" s="220">
        <v>4.0999999999999996</v>
      </c>
      <c r="T498" s="220">
        <v>5</v>
      </c>
      <c r="U498" s="220">
        <v>4.3</v>
      </c>
      <c r="V498" s="220">
        <v>4.2</v>
      </c>
      <c r="W498" s="220">
        <v>5.2</v>
      </c>
      <c r="X498" s="220">
        <v>5.8</v>
      </c>
      <c r="Y498" s="220">
        <v>5.2</v>
      </c>
      <c r="Z498" s="220">
        <v>5.4</v>
      </c>
      <c r="AA498" s="220">
        <v>6.1</v>
      </c>
      <c r="AC498" s="111" t="s">
        <v>54</v>
      </c>
      <c r="AD498" s="112">
        <f t="shared" si="602"/>
        <v>16650.345999999998</v>
      </c>
      <c r="AE498" s="112">
        <f t="shared" si="583"/>
        <v>19907.900000000001</v>
      </c>
      <c r="AF498" s="112">
        <f t="shared" si="584"/>
        <v>17247.644</v>
      </c>
      <c r="AG498" s="112">
        <f t="shared" si="585"/>
        <v>20134.716</v>
      </c>
      <c r="AH498" s="112">
        <f t="shared" si="586"/>
        <v>23347.48</v>
      </c>
      <c r="AI498" s="112">
        <f t="shared" si="587"/>
        <v>25020.504000000001</v>
      </c>
      <c r="AJ498" s="112">
        <f t="shared" si="588"/>
        <v>21288.799999999999</v>
      </c>
      <c r="AK498" s="112">
        <f t="shared" si="599"/>
        <v>22156.848000000002</v>
      </c>
      <c r="AL498" s="112">
        <f t="shared" si="600"/>
        <v>22560.240000000002</v>
      </c>
      <c r="AN498" s="111" t="s">
        <v>54</v>
      </c>
      <c r="AO498" s="113">
        <f t="shared" ref="AO498:AW498" si="617">H498/H497</f>
        <v>0.20769179626968337</v>
      </c>
      <c r="AP498" s="113">
        <f t="shared" si="617"/>
        <v>0.1877395322519804</v>
      </c>
      <c r="AQ498" s="113">
        <f t="shared" si="617"/>
        <v>0.17810430816448322</v>
      </c>
      <c r="AR498" s="113">
        <f t="shared" si="617"/>
        <v>0.19719954093532371</v>
      </c>
      <c r="AS498" s="113">
        <f t="shared" si="617"/>
        <v>0.17565899018478642</v>
      </c>
      <c r="AT498" s="113">
        <f t="shared" si="617"/>
        <v>0.16549746145766117</v>
      </c>
      <c r="AU498" s="113">
        <f t="shared" si="617"/>
        <v>0.15744288753486124</v>
      </c>
      <c r="AV498" s="113">
        <f t="shared" si="617"/>
        <v>0.15646323355010527</v>
      </c>
      <c r="AW498" s="113">
        <f t="shared" si="617"/>
        <v>0.1411529783186827</v>
      </c>
      <c r="AY498" s="111" t="s">
        <v>54</v>
      </c>
      <c r="AZ498" s="179">
        <f t="shared" si="590"/>
        <v>1.7030727294114034E-2</v>
      </c>
      <c r="BA498" s="179">
        <f t="shared" si="591"/>
        <v>1.877395322519804E-2</v>
      </c>
      <c r="BB498" s="179">
        <f t="shared" si="592"/>
        <v>1.5316970502145557E-2</v>
      </c>
      <c r="BC498" s="179">
        <f t="shared" si="593"/>
        <v>1.6564761438567194E-2</v>
      </c>
      <c r="BD498" s="179">
        <f t="shared" si="594"/>
        <v>1.8268534979217786E-2</v>
      </c>
      <c r="BE498" s="179">
        <f t="shared" si="595"/>
        <v>1.9197705529088695E-2</v>
      </c>
      <c r="BF498" s="179">
        <f t="shared" si="596"/>
        <v>1.6374060303625572E-2</v>
      </c>
      <c r="BG498" s="179">
        <f t="shared" si="597"/>
        <v>1.6898029223411371E-2</v>
      </c>
      <c r="BH498" s="179">
        <f t="shared" si="598"/>
        <v>1.722066335487929E-2</v>
      </c>
    </row>
    <row r="499" spans="2:68" s="108" customFormat="1" x14ac:dyDescent="0.25">
      <c r="B499" s="107"/>
      <c r="E499" s="109" t="s">
        <v>3</v>
      </c>
      <c r="F499" s="110" t="s">
        <v>67</v>
      </c>
      <c r="G499" s="111" t="s">
        <v>55</v>
      </c>
      <c r="H499" s="70">
        <v>355247</v>
      </c>
      <c r="I499" s="70">
        <v>387463</v>
      </c>
      <c r="J499" s="70">
        <v>409783</v>
      </c>
      <c r="K499" s="70">
        <v>418839</v>
      </c>
      <c r="L499" s="70">
        <v>446724</v>
      </c>
      <c r="M499" s="70">
        <v>432559</v>
      </c>
      <c r="N499" s="70">
        <v>461625</v>
      </c>
      <c r="O499" s="112">
        <v>454321</v>
      </c>
      <c r="P499" s="112">
        <v>397027</v>
      </c>
      <c r="R499" s="111" t="s">
        <v>55</v>
      </c>
      <c r="S499" s="81">
        <v>2.5</v>
      </c>
      <c r="T499" s="81">
        <v>3.4</v>
      </c>
      <c r="U499" s="81">
        <v>2.7</v>
      </c>
      <c r="V499" s="81">
        <v>3.2</v>
      </c>
      <c r="W499" s="81">
        <v>3.5</v>
      </c>
      <c r="X499" s="81">
        <v>3.8</v>
      </c>
      <c r="Y499" s="81">
        <v>3.4</v>
      </c>
      <c r="Z499" s="81">
        <v>3.2</v>
      </c>
      <c r="AA499" s="81">
        <v>3.6</v>
      </c>
      <c r="AC499" s="111" t="s">
        <v>55</v>
      </c>
      <c r="AD499" s="70">
        <f t="shared" si="602"/>
        <v>17762.349999999999</v>
      </c>
      <c r="AE499" s="70">
        <f t="shared" si="583"/>
        <v>26347.484</v>
      </c>
      <c r="AF499" s="70">
        <f t="shared" si="584"/>
        <v>22128.282000000003</v>
      </c>
      <c r="AG499" s="70">
        <f t="shared" si="585"/>
        <v>26805.696</v>
      </c>
      <c r="AH499" s="70">
        <f t="shared" si="586"/>
        <v>31270.68</v>
      </c>
      <c r="AI499" s="70">
        <f t="shared" si="587"/>
        <v>32874.483999999997</v>
      </c>
      <c r="AJ499" s="70">
        <f t="shared" si="588"/>
        <v>31390.5</v>
      </c>
      <c r="AK499" s="70">
        <f t="shared" si="599"/>
        <v>29076.544000000005</v>
      </c>
      <c r="AL499" s="70">
        <f t="shared" si="600"/>
        <v>28585.944</v>
      </c>
      <c r="AN499" s="111" t="s">
        <v>55</v>
      </c>
      <c r="AO499" s="113">
        <f t="shared" ref="AO499:AW499" si="618">H499/H497</f>
        <v>0.36336270603938975</v>
      </c>
      <c r="AP499" s="113">
        <f t="shared" si="618"/>
        <v>0.36539324783100718</v>
      </c>
      <c r="AQ499" s="113">
        <f t="shared" si="618"/>
        <v>0.36391255079712409</v>
      </c>
      <c r="AR499" s="113">
        <f t="shared" si="618"/>
        <v>0.34457740134839965</v>
      </c>
      <c r="AS499" s="113">
        <f t="shared" si="618"/>
        <v>0.34954491962541939</v>
      </c>
      <c r="AT499" s="113">
        <f t="shared" si="618"/>
        <v>0.33189340654197363</v>
      </c>
      <c r="AU499" s="113">
        <f t="shared" si="618"/>
        <v>0.35505409359198986</v>
      </c>
      <c r="AV499" s="113">
        <f t="shared" si="618"/>
        <v>0.34649014764236669</v>
      </c>
      <c r="AW499" s="113">
        <f t="shared" si="618"/>
        <v>0.30305831453023813</v>
      </c>
      <c r="AY499" s="111" t="s">
        <v>55</v>
      </c>
      <c r="AZ499" s="179">
        <f t="shared" si="590"/>
        <v>1.816813530196949E-2</v>
      </c>
      <c r="BA499" s="179">
        <f t="shared" si="591"/>
        <v>2.4846740852508487E-2</v>
      </c>
      <c r="BB499" s="179">
        <f t="shared" si="592"/>
        <v>1.96512777430447E-2</v>
      </c>
      <c r="BC499" s="179">
        <f t="shared" si="593"/>
        <v>2.2052953686297578E-2</v>
      </c>
      <c r="BD499" s="179">
        <f t="shared" si="594"/>
        <v>2.4468144373779359E-2</v>
      </c>
      <c r="BE499" s="179">
        <f t="shared" si="595"/>
        <v>2.5223898897189994E-2</v>
      </c>
      <c r="BF499" s="179">
        <f t="shared" si="596"/>
        <v>2.4143678364255308E-2</v>
      </c>
      <c r="BG499" s="179">
        <f t="shared" si="597"/>
        <v>2.2175369449111471E-2</v>
      </c>
      <c r="BH499" s="179">
        <f t="shared" si="598"/>
        <v>2.1820198646177145E-2</v>
      </c>
    </row>
    <row r="500" spans="2:68" s="108" customFormat="1" x14ac:dyDescent="0.25">
      <c r="B500" s="107"/>
      <c r="E500" s="109" t="s">
        <v>3</v>
      </c>
      <c r="F500" s="110" t="s">
        <v>67</v>
      </c>
      <c r="G500" s="111" t="s">
        <v>130</v>
      </c>
      <c r="H500" s="70">
        <v>107879</v>
      </c>
      <c r="I500" s="70">
        <v>125649</v>
      </c>
      <c r="J500" s="70">
        <v>140788</v>
      </c>
      <c r="K500" s="70">
        <v>133023</v>
      </c>
      <c r="L500" s="70">
        <v>142033</v>
      </c>
      <c r="M500" s="70">
        <v>183544</v>
      </c>
      <c r="N500" s="70">
        <v>165329</v>
      </c>
      <c r="O500" s="112">
        <v>165038</v>
      </c>
      <c r="P500" s="112">
        <v>185520</v>
      </c>
      <c r="R500" s="111" t="s">
        <v>130</v>
      </c>
      <c r="S500" s="220">
        <v>5.5</v>
      </c>
      <c r="T500" s="220">
        <v>5.6</v>
      </c>
      <c r="U500" s="220">
        <v>5.6</v>
      </c>
      <c r="V500" s="220">
        <v>5.9</v>
      </c>
      <c r="W500" s="220">
        <v>6.6</v>
      </c>
      <c r="X500" s="220">
        <v>6.9</v>
      </c>
      <c r="Y500" s="220">
        <v>6.9</v>
      </c>
      <c r="Z500" s="220">
        <v>6.4</v>
      </c>
      <c r="AA500" s="220">
        <v>6.1</v>
      </c>
      <c r="AC500" s="111" t="s">
        <v>130</v>
      </c>
      <c r="AD500" s="70">
        <f t="shared" si="602"/>
        <v>11866.69</v>
      </c>
      <c r="AE500" s="70">
        <f t="shared" si="583"/>
        <v>14072.687999999998</v>
      </c>
      <c r="AF500" s="70">
        <f t="shared" si="584"/>
        <v>15768.255999999999</v>
      </c>
      <c r="AG500" s="70">
        <f t="shared" si="585"/>
        <v>15696.714000000002</v>
      </c>
      <c r="AH500" s="70">
        <f t="shared" si="586"/>
        <v>18748.356</v>
      </c>
      <c r="AI500" s="70">
        <f t="shared" si="587"/>
        <v>25329.072</v>
      </c>
      <c r="AJ500" s="70">
        <f t="shared" si="588"/>
        <v>22815.402000000002</v>
      </c>
      <c r="AK500" s="70">
        <f t="shared" si="599"/>
        <v>21124.863999999998</v>
      </c>
      <c r="AL500" s="70">
        <f t="shared" si="600"/>
        <v>22633.439999999999</v>
      </c>
      <c r="AN500" s="111" t="s">
        <v>130</v>
      </c>
      <c r="AO500" s="113">
        <f t="shared" ref="AO500:AW500" si="619">H500/H497</f>
        <v>0.11034352257675176</v>
      </c>
      <c r="AP500" s="113">
        <f t="shared" si="619"/>
        <v>0.11849207846095813</v>
      </c>
      <c r="AQ500" s="113">
        <f t="shared" si="619"/>
        <v>0.1250284179715252</v>
      </c>
      <c r="AR500" s="113">
        <f t="shared" si="619"/>
        <v>0.10943756350189014</v>
      </c>
      <c r="AS500" s="113">
        <f t="shared" si="619"/>
        <v>0.11113554133907556</v>
      </c>
      <c r="AT500" s="113">
        <f t="shared" si="619"/>
        <v>0.14082944386855897</v>
      </c>
      <c r="AU500" s="113">
        <f t="shared" si="619"/>
        <v>0.12716109014778249</v>
      </c>
      <c r="AV500" s="113">
        <f t="shared" si="619"/>
        <v>0.12586704331651172</v>
      </c>
      <c r="AW500" s="113">
        <f t="shared" si="619"/>
        <v>0.14161096981225402</v>
      </c>
      <c r="AY500" s="111" t="s">
        <v>130</v>
      </c>
      <c r="AZ500" s="179">
        <f t="shared" si="590"/>
        <v>1.2137787483442693E-2</v>
      </c>
      <c r="BA500" s="179">
        <f t="shared" si="591"/>
        <v>1.327111278762731E-2</v>
      </c>
      <c r="BB500" s="179">
        <f t="shared" si="592"/>
        <v>1.4003182812810822E-2</v>
      </c>
      <c r="BC500" s="179">
        <f t="shared" si="593"/>
        <v>1.2913632493223037E-2</v>
      </c>
      <c r="BD500" s="179">
        <f t="shared" si="594"/>
        <v>1.4669891456757973E-2</v>
      </c>
      <c r="BE500" s="179">
        <f t="shared" si="595"/>
        <v>1.9434463253861139E-2</v>
      </c>
      <c r="BF500" s="179">
        <f t="shared" si="596"/>
        <v>1.7548230440393983E-2</v>
      </c>
      <c r="BG500" s="179">
        <f t="shared" si="597"/>
        <v>1.61109815445135E-2</v>
      </c>
      <c r="BH500" s="179">
        <f t="shared" si="598"/>
        <v>1.727653831709499E-2</v>
      </c>
    </row>
    <row r="501" spans="2:68" s="108" customFormat="1" x14ac:dyDescent="0.25">
      <c r="B501" s="107"/>
      <c r="E501" s="109" t="s">
        <v>3</v>
      </c>
      <c r="F501" s="110" t="s">
        <v>67</v>
      </c>
      <c r="G501" s="111" t="s">
        <v>131</v>
      </c>
      <c r="H501" s="112">
        <v>309759</v>
      </c>
      <c r="I501" s="112">
        <v>347435</v>
      </c>
      <c r="J501" s="112">
        <v>373496</v>
      </c>
      <c r="K501" s="112">
        <v>423656</v>
      </c>
      <c r="L501" s="112">
        <v>464764</v>
      </c>
      <c r="M501" s="112">
        <v>471510</v>
      </c>
      <c r="N501" s="112">
        <v>468500</v>
      </c>
      <c r="O501" s="112">
        <v>486694</v>
      </c>
      <c r="P501" s="112">
        <v>542601</v>
      </c>
      <c r="R501" s="111" t="s">
        <v>131</v>
      </c>
      <c r="S501" s="220">
        <v>3.1</v>
      </c>
      <c r="T501" s="220">
        <v>3.2</v>
      </c>
      <c r="U501" s="220">
        <v>2.8</v>
      </c>
      <c r="V501" s="220">
        <v>2.8</v>
      </c>
      <c r="W501" s="220">
        <v>3</v>
      </c>
      <c r="X501" s="220">
        <v>3.3</v>
      </c>
      <c r="Y501" s="220">
        <v>3.2</v>
      </c>
      <c r="Z501" s="220">
        <v>3.2</v>
      </c>
      <c r="AA501" s="220">
        <v>2.1</v>
      </c>
      <c r="AC501" s="111" t="s">
        <v>131</v>
      </c>
      <c r="AD501" s="112">
        <f t="shared" si="602"/>
        <v>19205.058000000001</v>
      </c>
      <c r="AE501" s="112">
        <f t="shared" si="583"/>
        <v>22235.84</v>
      </c>
      <c r="AF501" s="112">
        <f t="shared" si="584"/>
        <v>20915.775999999998</v>
      </c>
      <c r="AG501" s="112">
        <f t="shared" si="585"/>
        <v>23724.735999999997</v>
      </c>
      <c r="AH501" s="112">
        <f t="shared" si="586"/>
        <v>27885.84</v>
      </c>
      <c r="AI501" s="112">
        <f t="shared" si="587"/>
        <v>31119.66</v>
      </c>
      <c r="AJ501" s="112">
        <f t="shared" si="588"/>
        <v>29984</v>
      </c>
      <c r="AK501" s="112">
        <f t="shared" si="599"/>
        <v>31148.416000000001</v>
      </c>
      <c r="AL501" s="112">
        <f t="shared" si="600"/>
        <v>22789.242000000002</v>
      </c>
      <c r="AN501" s="111" t="s">
        <v>131</v>
      </c>
      <c r="AO501" s="113">
        <f t="shared" ref="AO501:AW501" si="620">H501/H497</f>
        <v>0.31683552136979437</v>
      </c>
      <c r="AP501" s="113">
        <f t="shared" si="620"/>
        <v>0.32764522821576764</v>
      </c>
      <c r="AQ501" s="113">
        <f t="shared" si="620"/>
        <v>0.33168745914916592</v>
      </c>
      <c r="AR501" s="113">
        <f t="shared" si="620"/>
        <v>0.34854033064174444</v>
      </c>
      <c r="AS501" s="113">
        <f t="shared" si="620"/>
        <v>0.36366054885071863</v>
      </c>
      <c r="AT501" s="113">
        <f t="shared" si="620"/>
        <v>0.36177968813180622</v>
      </c>
      <c r="AU501" s="113">
        <f t="shared" si="620"/>
        <v>0.36034192872536636</v>
      </c>
      <c r="AV501" s="113">
        <f t="shared" si="620"/>
        <v>0.37117957549101632</v>
      </c>
      <c r="AW501" s="113">
        <f t="shared" si="620"/>
        <v>0.41417773733882518</v>
      </c>
      <c r="AY501" s="111" t="s">
        <v>131</v>
      </c>
      <c r="AZ501" s="179">
        <f t="shared" si="590"/>
        <v>1.964380232492725E-2</v>
      </c>
      <c r="BA501" s="179">
        <f t="shared" si="591"/>
        <v>2.0969294605809128E-2</v>
      </c>
      <c r="BB501" s="179">
        <f t="shared" si="592"/>
        <v>1.857449771235329E-2</v>
      </c>
      <c r="BC501" s="179">
        <f t="shared" si="593"/>
        <v>1.9518258515937689E-2</v>
      </c>
      <c r="BD501" s="179">
        <f t="shared" si="594"/>
        <v>2.181963293104312E-2</v>
      </c>
      <c r="BE501" s="179">
        <f t="shared" si="595"/>
        <v>2.387745941669921E-2</v>
      </c>
      <c r="BF501" s="179">
        <f t="shared" si="596"/>
        <v>2.3061883438423449E-2</v>
      </c>
      <c r="BG501" s="179">
        <f t="shared" si="597"/>
        <v>2.3755492831425043E-2</v>
      </c>
      <c r="BH501" s="179">
        <f t="shared" si="598"/>
        <v>1.7395464968230658E-2</v>
      </c>
    </row>
    <row r="502" spans="2:68" s="87" customFormat="1" x14ac:dyDescent="0.25">
      <c r="B502" s="84"/>
      <c r="C502" s="85"/>
      <c r="D502" s="85"/>
      <c r="E502" s="109" t="s">
        <v>45</v>
      </c>
      <c r="F502" s="110" t="s">
        <v>67</v>
      </c>
      <c r="G502" s="195" t="s">
        <v>7</v>
      </c>
      <c r="H502" s="69">
        <v>497979</v>
      </c>
      <c r="I502" s="69">
        <v>518208</v>
      </c>
      <c r="J502" s="69">
        <v>545759</v>
      </c>
      <c r="K502" s="69">
        <v>582709</v>
      </c>
      <c r="L502" s="69">
        <v>622785</v>
      </c>
      <c r="M502" s="69">
        <v>673066</v>
      </c>
      <c r="N502" s="69">
        <v>728958</v>
      </c>
      <c r="O502" s="69">
        <v>785039</v>
      </c>
      <c r="P502" s="69">
        <v>847961</v>
      </c>
      <c r="R502" s="195" t="s">
        <v>7</v>
      </c>
      <c r="S502" s="226">
        <v>1</v>
      </c>
      <c r="T502" s="226">
        <v>0.9</v>
      </c>
      <c r="U502" s="226">
        <v>0.9</v>
      </c>
      <c r="V502" s="226">
        <v>2.9</v>
      </c>
      <c r="W502" s="226">
        <v>1.1000000000000001</v>
      </c>
      <c r="X502" s="226">
        <v>1</v>
      </c>
      <c r="Y502" s="226">
        <v>1</v>
      </c>
      <c r="Z502" s="226">
        <v>1</v>
      </c>
      <c r="AA502" s="226">
        <v>0.9</v>
      </c>
      <c r="AC502" s="195" t="s">
        <v>7</v>
      </c>
      <c r="AD502" s="69">
        <f t="shared" si="602"/>
        <v>9959.58</v>
      </c>
      <c r="AE502" s="69">
        <f t="shared" si="583"/>
        <v>9327.7440000000006</v>
      </c>
      <c r="AF502" s="69">
        <f t="shared" si="584"/>
        <v>9823.6620000000003</v>
      </c>
      <c r="AG502" s="69">
        <f t="shared" si="585"/>
        <v>33797.121999999996</v>
      </c>
      <c r="AH502" s="69">
        <f t="shared" si="586"/>
        <v>13701.27</v>
      </c>
      <c r="AI502" s="69">
        <f t="shared" si="587"/>
        <v>13461.32</v>
      </c>
      <c r="AJ502" s="69">
        <f t="shared" si="588"/>
        <v>14579.16</v>
      </c>
      <c r="AK502" s="69">
        <f t="shared" si="599"/>
        <v>15700.78</v>
      </c>
      <c r="AL502" s="69">
        <f t="shared" si="600"/>
        <v>15263.298000000001</v>
      </c>
      <c r="AN502" s="195" t="s">
        <v>7</v>
      </c>
      <c r="AO502" s="98">
        <f t="shared" ref="AO502:AW502" si="621">H502/H502</f>
        <v>1</v>
      </c>
      <c r="AP502" s="98">
        <f t="shared" si="621"/>
        <v>1</v>
      </c>
      <c r="AQ502" s="98">
        <f t="shared" si="621"/>
        <v>1</v>
      </c>
      <c r="AR502" s="98">
        <f t="shared" si="621"/>
        <v>1</v>
      </c>
      <c r="AS502" s="98">
        <f t="shared" si="621"/>
        <v>1</v>
      </c>
      <c r="AT502" s="98">
        <f t="shared" si="621"/>
        <v>1</v>
      </c>
      <c r="AU502" s="98">
        <f t="shared" si="621"/>
        <v>1</v>
      </c>
      <c r="AV502" s="98">
        <f t="shared" si="621"/>
        <v>1</v>
      </c>
      <c r="AW502" s="98">
        <f t="shared" si="621"/>
        <v>1</v>
      </c>
      <c r="AX502" s="191"/>
      <c r="AY502" s="195" t="s">
        <v>7</v>
      </c>
      <c r="AZ502" s="178">
        <f t="shared" si="590"/>
        <v>0.02</v>
      </c>
      <c r="BA502" s="178">
        <f t="shared" si="591"/>
        <v>1.8000000000000002E-2</v>
      </c>
      <c r="BB502" s="178">
        <f t="shared" si="592"/>
        <v>1.8000000000000002E-2</v>
      </c>
      <c r="BC502" s="178">
        <f t="shared" si="593"/>
        <v>5.7999999999999996E-2</v>
      </c>
      <c r="BD502" s="178">
        <f t="shared" si="594"/>
        <v>2.2000000000000002E-2</v>
      </c>
      <c r="BE502" s="178">
        <f t="shared" si="595"/>
        <v>0.02</v>
      </c>
      <c r="BF502" s="178">
        <f t="shared" si="596"/>
        <v>0.02</v>
      </c>
      <c r="BG502" s="178">
        <f t="shared" si="597"/>
        <v>0.02</v>
      </c>
      <c r="BH502" s="178">
        <f t="shared" si="598"/>
        <v>1.8000000000000002E-2</v>
      </c>
      <c r="BI502" s="191"/>
      <c r="BJ502" s="191"/>
      <c r="BK502" s="191"/>
      <c r="BL502" s="191"/>
      <c r="BM502" s="191"/>
      <c r="BN502" s="191"/>
      <c r="BO502" s="191"/>
      <c r="BP502" s="191"/>
    </row>
    <row r="503" spans="2:68" s="108" customFormat="1" x14ac:dyDescent="0.25">
      <c r="B503" s="107"/>
      <c r="E503" s="109" t="s">
        <v>45</v>
      </c>
      <c r="F503" s="110" t="s">
        <v>67</v>
      </c>
      <c r="G503" s="111" t="s">
        <v>54</v>
      </c>
      <c r="H503" s="112">
        <v>44835</v>
      </c>
      <c r="I503" s="112">
        <v>56721</v>
      </c>
      <c r="J503" s="112">
        <v>51153</v>
      </c>
      <c r="K503" s="112">
        <v>59516</v>
      </c>
      <c r="L503" s="112">
        <v>57157</v>
      </c>
      <c r="M503" s="112">
        <v>47464</v>
      </c>
      <c r="N503" s="112">
        <v>63166</v>
      </c>
      <c r="O503" s="112">
        <v>63262</v>
      </c>
      <c r="P503" s="112">
        <v>66659</v>
      </c>
      <c r="R503" s="111" t="s">
        <v>54</v>
      </c>
      <c r="S503" s="220">
        <v>9</v>
      </c>
      <c r="T503" s="220">
        <v>8.5</v>
      </c>
      <c r="U503" s="220">
        <v>9.1</v>
      </c>
      <c r="V503" s="220">
        <v>8.9</v>
      </c>
      <c r="W503" s="220">
        <v>10.5</v>
      </c>
      <c r="X503" s="220">
        <v>11.7</v>
      </c>
      <c r="Y503" s="220">
        <v>11.3</v>
      </c>
      <c r="Z503" s="220">
        <v>10.4</v>
      </c>
      <c r="AA503" s="220">
        <v>9.8000000000000007</v>
      </c>
      <c r="AC503" s="111" t="s">
        <v>54</v>
      </c>
      <c r="AD503" s="112">
        <f t="shared" si="602"/>
        <v>8070.3</v>
      </c>
      <c r="AE503" s="112">
        <f t="shared" si="583"/>
        <v>9642.57</v>
      </c>
      <c r="AF503" s="112">
        <f t="shared" si="584"/>
        <v>9309.8459999999995</v>
      </c>
      <c r="AG503" s="112">
        <f t="shared" si="585"/>
        <v>10593.848</v>
      </c>
      <c r="AH503" s="112">
        <f t="shared" si="586"/>
        <v>12002.97</v>
      </c>
      <c r="AI503" s="112">
        <f t="shared" si="587"/>
        <v>11106.575999999999</v>
      </c>
      <c r="AJ503" s="112">
        <f t="shared" si="588"/>
        <v>14275.516000000001</v>
      </c>
      <c r="AK503" s="112">
        <f t="shared" si="599"/>
        <v>13158.496000000001</v>
      </c>
      <c r="AL503" s="112">
        <f t="shared" si="600"/>
        <v>13065.164000000001</v>
      </c>
      <c r="AN503" s="111" t="s">
        <v>54</v>
      </c>
      <c r="AO503" s="113">
        <f t="shared" ref="AO503:AW503" si="622">H503/H502</f>
        <v>9.0033917092889465E-2</v>
      </c>
      <c r="AP503" s="113">
        <f t="shared" si="622"/>
        <v>0.109456048536495</v>
      </c>
      <c r="AQ503" s="113">
        <f t="shared" si="622"/>
        <v>9.3728184051935018E-2</v>
      </c>
      <c r="AR503" s="113">
        <f t="shared" si="622"/>
        <v>0.10213674406950983</v>
      </c>
      <c r="AS503" s="113">
        <f t="shared" si="622"/>
        <v>9.1776455759210646E-2</v>
      </c>
      <c r="AT503" s="113">
        <f t="shared" si="622"/>
        <v>7.0519087281187873E-2</v>
      </c>
      <c r="AU503" s="113">
        <f t="shared" si="622"/>
        <v>8.6652454599579126E-2</v>
      </c>
      <c r="AV503" s="113">
        <f t="shared" si="622"/>
        <v>8.0584531469137202E-2</v>
      </c>
      <c r="AW503" s="113">
        <f t="shared" si="622"/>
        <v>7.8610926681769569E-2</v>
      </c>
      <c r="AY503" s="111" t="s">
        <v>54</v>
      </c>
      <c r="AZ503" s="179">
        <f t="shared" si="590"/>
        <v>1.6206105076720104E-2</v>
      </c>
      <c r="BA503" s="179">
        <f t="shared" si="591"/>
        <v>1.8607528251204149E-2</v>
      </c>
      <c r="BB503" s="179">
        <f t="shared" si="592"/>
        <v>1.7058529497452173E-2</v>
      </c>
      <c r="BC503" s="179">
        <f t="shared" si="593"/>
        <v>1.818034044437275E-2</v>
      </c>
      <c r="BD503" s="179">
        <f t="shared" si="594"/>
        <v>1.9273055709434234E-2</v>
      </c>
      <c r="BE503" s="179">
        <f t="shared" si="595"/>
        <v>1.6501466423797961E-2</v>
      </c>
      <c r="BF503" s="179">
        <f t="shared" si="596"/>
        <v>1.9583454739504885E-2</v>
      </c>
      <c r="BG503" s="179">
        <f t="shared" si="597"/>
        <v>1.6761582545580536E-2</v>
      </c>
      <c r="BH503" s="179">
        <f t="shared" si="598"/>
        <v>1.5407741629626836E-2</v>
      </c>
    </row>
    <row r="504" spans="2:68" s="108" customFormat="1" x14ac:dyDescent="0.25">
      <c r="B504" s="107"/>
      <c r="E504" s="109" t="s">
        <v>45</v>
      </c>
      <c r="F504" s="110" t="s">
        <v>67</v>
      </c>
      <c r="G504" s="111" t="s">
        <v>55</v>
      </c>
      <c r="H504" s="70">
        <v>229980</v>
      </c>
      <c r="I504" s="70">
        <v>228042</v>
      </c>
      <c r="J504" s="70">
        <v>242478</v>
      </c>
      <c r="K504" s="70">
        <v>256884</v>
      </c>
      <c r="L504" s="70">
        <v>278613</v>
      </c>
      <c r="M504" s="70">
        <v>308189</v>
      </c>
      <c r="N504" s="70">
        <v>334748</v>
      </c>
      <c r="O504" s="112">
        <v>340515</v>
      </c>
      <c r="P504" s="112">
        <v>361866</v>
      </c>
      <c r="R504" s="111" t="s">
        <v>55</v>
      </c>
      <c r="S504" s="81">
        <v>3.2</v>
      </c>
      <c r="T504" s="81">
        <v>3.8</v>
      </c>
      <c r="U504" s="81">
        <v>3.6</v>
      </c>
      <c r="V504" s="81">
        <v>3.1</v>
      </c>
      <c r="W504" s="81">
        <v>3.9</v>
      </c>
      <c r="X504" s="81">
        <v>4</v>
      </c>
      <c r="Y504" s="81">
        <v>4.2</v>
      </c>
      <c r="Z504" s="81">
        <v>3.4</v>
      </c>
      <c r="AA504" s="81">
        <v>2.4</v>
      </c>
      <c r="AC504" s="111" t="s">
        <v>55</v>
      </c>
      <c r="AD504" s="70">
        <f t="shared" si="602"/>
        <v>14718.72</v>
      </c>
      <c r="AE504" s="70">
        <f t="shared" si="583"/>
        <v>17331.191999999999</v>
      </c>
      <c r="AF504" s="70">
        <f t="shared" si="584"/>
        <v>17458.416000000001</v>
      </c>
      <c r="AG504" s="70">
        <f t="shared" si="585"/>
        <v>15926.808000000001</v>
      </c>
      <c r="AH504" s="70">
        <f t="shared" si="586"/>
        <v>21731.813999999998</v>
      </c>
      <c r="AI504" s="70">
        <f t="shared" si="587"/>
        <v>24655.119999999999</v>
      </c>
      <c r="AJ504" s="70">
        <f t="shared" si="588"/>
        <v>28118.832000000002</v>
      </c>
      <c r="AK504" s="70">
        <f t="shared" si="599"/>
        <v>23155.02</v>
      </c>
      <c r="AL504" s="70">
        <f t="shared" si="600"/>
        <v>17369.567999999999</v>
      </c>
      <c r="AN504" s="111" t="s">
        <v>55</v>
      </c>
      <c r="AO504" s="113">
        <f t="shared" ref="AO504:AW504" si="623">H504/H502</f>
        <v>0.46182670353569127</v>
      </c>
      <c r="AP504" s="113">
        <f t="shared" si="623"/>
        <v>0.44005881808077063</v>
      </c>
      <c r="AQ504" s="113">
        <f t="shared" si="623"/>
        <v>0.44429500933562249</v>
      </c>
      <c r="AR504" s="113">
        <f t="shared" si="623"/>
        <v>0.44084440089307014</v>
      </c>
      <c r="AS504" s="113">
        <f t="shared" si="623"/>
        <v>0.44736626604687013</v>
      </c>
      <c r="AT504" s="113">
        <f t="shared" si="623"/>
        <v>0.45788823087186098</v>
      </c>
      <c r="AU504" s="113">
        <f t="shared" si="623"/>
        <v>0.45921438546528059</v>
      </c>
      <c r="AV504" s="113">
        <f t="shared" si="623"/>
        <v>0.43375552042637372</v>
      </c>
      <c r="AW504" s="113">
        <f t="shared" si="623"/>
        <v>0.42674839998537667</v>
      </c>
      <c r="AY504" s="111" t="s">
        <v>55</v>
      </c>
      <c r="AZ504" s="179">
        <f t="shared" si="590"/>
        <v>2.9556909026284241E-2</v>
      </c>
      <c r="BA504" s="179">
        <f t="shared" si="591"/>
        <v>3.3444470174138569E-2</v>
      </c>
      <c r="BB504" s="179">
        <f t="shared" si="592"/>
        <v>3.1989240672164819E-2</v>
      </c>
      <c r="BC504" s="179">
        <f t="shared" si="593"/>
        <v>2.7332352855370348E-2</v>
      </c>
      <c r="BD504" s="179">
        <f t="shared" si="594"/>
        <v>3.489456875165587E-2</v>
      </c>
      <c r="BE504" s="179">
        <f t="shared" si="595"/>
        <v>3.663105846974888E-2</v>
      </c>
      <c r="BF504" s="179">
        <f t="shared" si="596"/>
        <v>3.857400837908357E-2</v>
      </c>
      <c r="BG504" s="179">
        <f t="shared" si="597"/>
        <v>2.9495375388993411E-2</v>
      </c>
      <c r="BH504" s="179">
        <f t="shared" si="598"/>
        <v>2.0483923199298079E-2</v>
      </c>
    </row>
    <row r="505" spans="2:68" s="108" customFormat="1" x14ac:dyDescent="0.25">
      <c r="B505" s="107"/>
      <c r="E505" s="109" t="s">
        <v>45</v>
      </c>
      <c r="F505" s="110" t="s">
        <v>67</v>
      </c>
      <c r="G505" s="111" t="s">
        <v>130</v>
      </c>
      <c r="H505" s="70">
        <v>52284</v>
      </c>
      <c r="I505" s="70">
        <v>51787</v>
      </c>
      <c r="J505" s="70">
        <v>56270</v>
      </c>
      <c r="K505" s="70">
        <v>66416</v>
      </c>
      <c r="L505" s="70">
        <v>65609</v>
      </c>
      <c r="M505" s="70">
        <v>78980</v>
      </c>
      <c r="N505" s="70">
        <v>75956</v>
      </c>
      <c r="O505" s="112">
        <v>88987</v>
      </c>
      <c r="P505" s="112">
        <v>84798</v>
      </c>
      <c r="R505" s="111" t="s">
        <v>130</v>
      </c>
      <c r="S505" s="220">
        <v>7.7</v>
      </c>
      <c r="T505" s="220">
        <v>8.9</v>
      </c>
      <c r="U505" s="220">
        <v>8.5</v>
      </c>
      <c r="V505" s="220">
        <v>8.1999999999999993</v>
      </c>
      <c r="W505" s="220">
        <v>9.4</v>
      </c>
      <c r="X505" s="220">
        <v>9.9</v>
      </c>
      <c r="Y505" s="220">
        <v>9.8000000000000007</v>
      </c>
      <c r="Z505" s="220">
        <v>8.5</v>
      </c>
      <c r="AA505" s="220">
        <v>8.6</v>
      </c>
      <c r="AC505" s="111" t="s">
        <v>130</v>
      </c>
      <c r="AD505" s="70">
        <f t="shared" si="602"/>
        <v>8051.7359999999999</v>
      </c>
      <c r="AE505" s="70">
        <f t="shared" si="583"/>
        <v>9218.0860000000011</v>
      </c>
      <c r="AF505" s="70">
        <f t="shared" si="584"/>
        <v>9565.9</v>
      </c>
      <c r="AG505" s="70">
        <f t="shared" si="585"/>
        <v>10892.223999999998</v>
      </c>
      <c r="AH505" s="70">
        <f t="shared" si="586"/>
        <v>12334.492</v>
      </c>
      <c r="AI505" s="70">
        <f t="shared" si="587"/>
        <v>15638.04</v>
      </c>
      <c r="AJ505" s="70">
        <f t="shared" si="588"/>
        <v>14887.376</v>
      </c>
      <c r="AK505" s="70">
        <f t="shared" si="599"/>
        <v>15127.79</v>
      </c>
      <c r="AL505" s="70">
        <f t="shared" si="600"/>
        <v>14585.255999999999</v>
      </c>
      <c r="AN505" s="111" t="s">
        <v>130</v>
      </c>
      <c r="AO505" s="113">
        <f t="shared" ref="AO505:AW505" si="624">H505/H502</f>
        <v>0.10499237919671311</v>
      </c>
      <c r="AP505" s="113">
        <f t="shared" si="624"/>
        <v>9.9934775225392125E-2</v>
      </c>
      <c r="AQ505" s="113">
        <f t="shared" si="624"/>
        <v>0.10310411738514619</v>
      </c>
      <c r="AR505" s="113">
        <f t="shared" si="624"/>
        <v>0.11397798901338405</v>
      </c>
      <c r="AS505" s="113">
        <f t="shared" si="624"/>
        <v>0.10534775243462832</v>
      </c>
      <c r="AT505" s="113">
        <f t="shared" si="624"/>
        <v>0.11734361860501051</v>
      </c>
      <c r="AU505" s="113">
        <f t="shared" si="624"/>
        <v>0.1041980470754145</v>
      </c>
      <c r="AV505" s="113">
        <f t="shared" si="624"/>
        <v>0.11335360408845931</v>
      </c>
      <c r="AW505" s="113">
        <f t="shared" si="624"/>
        <v>0.10000224066908737</v>
      </c>
      <c r="AY505" s="111" t="s">
        <v>130</v>
      </c>
      <c r="AZ505" s="179">
        <f t="shared" si="590"/>
        <v>1.6168826396293821E-2</v>
      </c>
      <c r="BA505" s="179">
        <f t="shared" si="591"/>
        <v>1.77883899901198E-2</v>
      </c>
      <c r="BB505" s="179">
        <f t="shared" si="592"/>
        <v>1.7527699955474853E-2</v>
      </c>
      <c r="BC505" s="179">
        <f t="shared" si="593"/>
        <v>1.8692390198194981E-2</v>
      </c>
      <c r="BD505" s="179">
        <f t="shared" si="594"/>
        <v>1.9805377457710126E-2</v>
      </c>
      <c r="BE505" s="179">
        <f t="shared" si="595"/>
        <v>2.3234036483792079E-2</v>
      </c>
      <c r="BF505" s="179">
        <f t="shared" si="596"/>
        <v>2.0422817226781246E-2</v>
      </c>
      <c r="BG505" s="179">
        <f t="shared" si="597"/>
        <v>1.9270112695038082E-2</v>
      </c>
      <c r="BH505" s="179">
        <f t="shared" si="598"/>
        <v>1.7200385395083027E-2</v>
      </c>
    </row>
    <row r="506" spans="2:68" s="108" customFormat="1" x14ac:dyDescent="0.25">
      <c r="B506" s="107"/>
      <c r="E506" s="109" t="s">
        <v>45</v>
      </c>
      <c r="F506" s="110" t="s">
        <v>67</v>
      </c>
      <c r="G506" s="111" t="s">
        <v>131</v>
      </c>
      <c r="H506" s="112">
        <v>170467</v>
      </c>
      <c r="I506" s="112">
        <v>180866</v>
      </c>
      <c r="J506" s="112">
        <v>194294</v>
      </c>
      <c r="K506" s="112">
        <v>199585</v>
      </c>
      <c r="L506" s="112">
        <v>221407</v>
      </c>
      <c r="M506" s="112">
        <v>238433</v>
      </c>
      <c r="N506" s="112">
        <v>255089</v>
      </c>
      <c r="O506" s="112">
        <v>292275</v>
      </c>
      <c r="P506" s="112">
        <v>334638</v>
      </c>
      <c r="R506" s="111" t="s">
        <v>131</v>
      </c>
      <c r="S506" s="220">
        <v>4.2</v>
      </c>
      <c r="T506" s="220">
        <v>4.4000000000000004</v>
      </c>
      <c r="U506" s="220">
        <v>4.4000000000000004</v>
      </c>
      <c r="V506" s="220">
        <v>4.5999999999999996</v>
      </c>
      <c r="W506" s="220">
        <v>4.5999999999999996</v>
      </c>
      <c r="X506" s="220">
        <v>4.5999999999999996</v>
      </c>
      <c r="Y506" s="220">
        <v>4.2</v>
      </c>
      <c r="Z506" s="220">
        <v>4.2</v>
      </c>
      <c r="AA506" s="220">
        <v>4.2</v>
      </c>
      <c r="AC506" s="111" t="s">
        <v>131</v>
      </c>
      <c r="AD506" s="112">
        <f t="shared" si="602"/>
        <v>14319.228000000001</v>
      </c>
      <c r="AE506" s="112">
        <f t="shared" si="583"/>
        <v>15916.208000000001</v>
      </c>
      <c r="AF506" s="112">
        <f t="shared" si="584"/>
        <v>17097.872000000003</v>
      </c>
      <c r="AG506" s="112">
        <f t="shared" si="585"/>
        <v>18361.819999999996</v>
      </c>
      <c r="AH506" s="112">
        <f t="shared" si="586"/>
        <v>20369.444</v>
      </c>
      <c r="AI506" s="112">
        <f t="shared" si="587"/>
        <v>21935.835999999996</v>
      </c>
      <c r="AJ506" s="112">
        <f t="shared" si="588"/>
        <v>21427.476000000002</v>
      </c>
      <c r="AK506" s="112">
        <f t="shared" si="599"/>
        <v>24551.1</v>
      </c>
      <c r="AL506" s="112">
        <f t="shared" si="600"/>
        <v>28109.592000000001</v>
      </c>
      <c r="AN506" s="111" t="s">
        <v>131</v>
      </c>
      <c r="AO506" s="113">
        <f t="shared" ref="AO506:AW506" si="625">H506/H502</f>
        <v>0.34231764793294495</v>
      </c>
      <c r="AP506" s="113">
        <f t="shared" si="625"/>
        <v>0.34902201432629371</v>
      </c>
      <c r="AQ506" s="113">
        <f t="shared" si="625"/>
        <v>0.35600695545103239</v>
      </c>
      <c r="AR506" s="113">
        <f t="shared" si="625"/>
        <v>0.34251230030770075</v>
      </c>
      <c r="AS506" s="113">
        <f t="shared" si="625"/>
        <v>0.3555111314498583</v>
      </c>
      <c r="AT506" s="113">
        <f t="shared" si="625"/>
        <v>0.35424906324194061</v>
      </c>
      <c r="AU506" s="113">
        <f t="shared" si="625"/>
        <v>0.34993648468087324</v>
      </c>
      <c r="AV506" s="113">
        <f t="shared" si="625"/>
        <v>0.3723063440160298</v>
      </c>
      <c r="AW506" s="113">
        <f t="shared" si="625"/>
        <v>0.39463843266376636</v>
      </c>
      <c r="AY506" s="111" t="s">
        <v>131</v>
      </c>
      <c r="AZ506" s="179">
        <f t="shared" si="590"/>
        <v>2.8754682426367376E-2</v>
      </c>
      <c r="BA506" s="179">
        <f t="shared" si="591"/>
        <v>3.071393726071385E-2</v>
      </c>
      <c r="BB506" s="179">
        <f t="shared" si="592"/>
        <v>3.132861207969085E-2</v>
      </c>
      <c r="BC506" s="179">
        <f t="shared" si="593"/>
        <v>3.1511131628308466E-2</v>
      </c>
      <c r="BD506" s="179">
        <f t="shared" si="594"/>
        <v>3.2707024093386966E-2</v>
      </c>
      <c r="BE506" s="179">
        <f t="shared" si="595"/>
        <v>3.2590913818258536E-2</v>
      </c>
      <c r="BF506" s="179">
        <f t="shared" si="596"/>
        <v>2.9394664713193356E-2</v>
      </c>
      <c r="BG506" s="179">
        <f t="shared" si="597"/>
        <v>3.1273732897346501E-2</v>
      </c>
      <c r="BH506" s="179">
        <f t="shared" si="598"/>
        <v>3.3149628343756371E-2</v>
      </c>
    </row>
    <row r="507" spans="2:68" s="87" customFormat="1" x14ac:dyDescent="0.25">
      <c r="B507" s="84"/>
      <c r="C507" s="85"/>
      <c r="D507" s="85"/>
      <c r="E507" s="109" t="s">
        <v>46</v>
      </c>
      <c r="F507" s="110" t="s">
        <v>67</v>
      </c>
      <c r="G507" s="195" t="s">
        <v>7</v>
      </c>
      <c r="H507" s="69">
        <v>3421671</v>
      </c>
      <c r="I507" s="69">
        <v>3521972</v>
      </c>
      <c r="J507" s="69">
        <v>3601943</v>
      </c>
      <c r="K507" s="69">
        <v>3759257</v>
      </c>
      <c r="L507" s="69">
        <v>3866562</v>
      </c>
      <c r="M507" s="69">
        <v>3937384</v>
      </c>
      <c r="N507" s="69">
        <v>3978590</v>
      </c>
      <c r="O507" s="69">
        <v>4020680</v>
      </c>
      <c r="P507" s="69">
        <v>4129403</v>
      </c>
      <c r="R507" s="195" t="s">
        <v>7</v>
      </c>
      <c r="S507" s="226">
        <v>0.3</v>
      </c>
      <c r="T507" s="226">
        <v>0.4</v>
      </c>
      <c r="U507" s="226">
        <v>0.4</v>
      </c>
      <c r="V507" s="226">
        <v>0.4</v>
      </c>
      <c r="W507" s="226">
        <v>0.5</v>
      </c>
      <c r="X507" s="226">
        <v>0.5</v>
      </c>
      <c r="Y507" s="226">
        <v>0.5</v>
      </c>
      <c r="Z507" s="226">
        <v>0.5</v>
      </c>
      <c r="AA507" s="226">
        <v>0.5</v>
      </c>
      <c r="AC507" s="195" t="s">
        <v>7</v>
      </c>
      <c r="AD507" s="69">
        <f t="shared" si="602"/>
        <v>20530.025999999998</v>
      </c>
      <c r="AE507" s="69">
        <f t="shared" si="583"/>
        <v>28175.776000000002</v>
      </c>
      <c r="AF507" s="69">
        <f t="shared" si="584"/>
        <v>28815.544000000005</v>
      </c>
      <c r="AG507" s="69">
        <f t="shared" si="585"/>
        <v>30074.056</v>
      </c>
      <c r="AH507" s="69">
        <f t="shared" si="586"/>
        <v>38665.620000000003</v>
      </c>
      <c r="AI507" s="69">
        <f t="shared" si="587"/>
        <v>39373.839999999997</v>
      </c>
      <c r="AJ507" s="69">
        <f t="shared" si="588"/>
        <v>39785.9</v>
      </c>
      <c r="AK507" s="69">
        <f t="shared" si="599"/>
        <v>40206.800000000003</v>
      </c>
      <c r="AL507" s="69">
        <f t="shared" si="600"/>
        <v>41294.03</v>
      </c>
      <c r="AN507" s="195" t="s">
        <v>7</v>
      </c>
      <c r="AO507" s="98">
        <f t="shared" ref="AO507:AW507" si="626">H507/H507</f>
        <v>1</v>
      </c>
      <c r="AP507" s="98">
        <f t="shared" si="626"/>
        <v>1</v>
      </c>
      <c r="AQ507" s="98">
        <f t="shared" si="626"/>
        <v>1</v>
      </c>
      <c r="AR507" s="98">
        <f t="shared" si="626"/>
        <v>1</v>
      </c>
      <c r="AS507" s="98">
        <f t="shared" si="626"/>
        <v>1</v>
      </c>
      <c r="AT507" s="98">
        <f t="shared" si="626"/>
        <v>1</v>
      </c>
      <c r="AU507" s="98">
        <f t="shared" si="626"/>
        <v>1</v>
      </c>
      <c r="AV507" s="98">
        <f t="shared" si="626"/>
        <v>1</v>
      </c>
      <c r="AW507" s="98">
        <f t="shared" si="626"/>
        <v>1</v>
      </c>
      <c r="AX507" s="191"/>
      <c r="AY507" s="195" t="s">
        <v>7</v>
      </c>
      <c r="AZ507" s="178">
        <f t="shared" si="590"/>
        <v>6.0000000000000001E-3</v>
      </c>
      <c r="BA507" s="178">
        <f t="shared" si="591"/>
        <v>8.0000000000000002E-3</v>
      </c>
      <c r="BB507" s="178">
        <f t="shared" si="592"/>
        <v>8.0000000000000002E-3</v>
      </c>
      <c r="BC507" s="178">
        <f t="shared" si="593"/>
        <v>8.0000000000000002E-3</v>
      </c>
      <c r="BD507" s="178">
        <f t="shared" si="594"/>
        <v>0.01</v>
      </c>
      <c r="BE507" s="178">
        <f t="shared" si="595"/>
        <v>0.01</v>
      </c>
      <c r="BF507" s="178">
        <f t="shared" si="596"/>
        <v>0.01</v>
      </c>
      <c r="BG507" s="178">
        <f t="shared" si="597"/>
        <v>0.01</v>
      </c>
      <c r="BH507" s="178">
        <f t="shared" si="598"/>
        <v>0.01</v>
      </c>
      <c r="BI507" s="191"/>
      <c r="BJ507" s="191"/>
      <c r="BK507" s="191"/>
      <c r="BL507" s="191"/>
      <c r="BM507" s="191"/>
      <c r="BN507" s="191"/>
      <c r="BO507" s="191"/>
      <c r="BP507" s="191"/>
    </row>
    <row r="508" spans="2:68" s="108" customFormat="1" x14ac:dyDescent="0.25">
      <c r="B508" s="107"/>
      <c r="E508" s="109" t="s">
        <v>46</v>
      </c>
      <c r="F508" s="110" t="s">
        <v>67</v>
      </c>
      <c r="G508" s="111" t="s">
        <v>54</v>
      </c>
      <c r="H508" s="112">
        <v>702795</v>
      </c>
      <c r="I508" s="112">
        <v>660132</v>
      </c>
      <c r="J508" s="112">
        <v>639350</v>
      </c>
      <c r="K508" s="112">
        <v>683836</v>
      </c>
      <c r="L508" s="112">
        <v>645856</v>
      </c>
      <c r="M508" s="112">
        <v>593453</v>
      </c>
      <c r="N508" s="112">
        <v>604491</v>
      </c>
      <c r="O508" s="112">
        <v>568019</v>
      </c>
      <c r="P508" s="112">
        <v>518964</v>
      </c>
      <c r="R508" s="111" t="s">
        <v>54</v>
      </c>
      <c r="S508" s="220">
        <v>2.4</v>
      </c>
      <c r="T508" s="220">
        <v>2.7</v>
      </c>
      <c r="U508" s="220">
        <v>2.6</v>
      </c>
      <c r="V508" s="220">
        <v>2.9</v>
      </c>
      <c r="W508" s="220">
        <v>3.3</v>
      </c>
      <c r="X508" s="220">
        <v>3.7</v>
      </c>
      <c r="Y508" s="220">
        <v>3</v>
      </c>
      <c r="Z508" s="220">
        <v>3.5</v>
      </c>
      <c r="AA508" s="220">
        <v>3.5</v>
      </c>
      <c r="AC508" s="111" t="s">
        <v>54</v>
      </c>
      <c r="AD508" s="112">
        <f t="shared" si="602"/>
        <v>33734.160000000003</v>
      </c>
      <c r="AE508" s="112">
        <f t="shared" si="583"/>
        <v>35647.128000000004</v>
      </c>
      <c r="AF508" s="112">
        <f t="shared" si="584"/>
        <v>33246.199999999997</v>
      </c>
      <c r="AG508" s="112">
        <f t="shared" si="585"/>
        <v>39662.487999999998</v>
      </c>
      <c r="AH508" s="112">
        <f t="shared" si="586"/>
        <v>42626.495999999999</v>
      </c>
      <c r="AI508" s="112">
        <f t="shared" si="587"/>
        <v>43915.522000000004</v>
      </c>
      <c r="AJ508" s="112">
        <f t="shared" si="588"/>
        <v>36269.46</v>
      </c>
      <c r="AK508" s="112">
        <f t="shared" si="599"/>
        <v>39761.33</v>
      </c>
      <c r="AL508" s="112">
        <f t="shared" si="600"/>
        <v>36327.480000000003</v>
      </c>
      <c r="AN508" s="111" t="s">
        <v>54</v>
      </c>
      <c r="AO508" s="113">
        <f t="shared" ref="AO508:AW508" si="627">H508/H507</f>
        <v>0.20539525863240504</v>
      </c>
      <c r="AP508" s="113">
        <f t="shared" si="627"/>
        <v>0.18743249520439118</v>
      </c>
      <c r="AQ508" s="113">
        <f t="shared" si="627"/>
        <v>0.17750142076096151</v>
      </c>
      <c r="AR508" s="113">
        <f t="shared" si="627"/>
        <v>0.18190722262404513</v>
      </c>
      <c r="AS508" s="113">
        <f t="shared" si="627"/>
        <v>0.16703624563630429</v>
      </c>
      <c r="AT508" s="113">
        <f t="shared" si="627"/>
        <v>0.1507226625597097</v>
      </c>
      <c r="AU508" s="113">
        <f t="shared" si="627"/>
        <v>0.15193598737241082</v>
      </c>
      <c r="AV508" s="113">
        <f t="shared" si="627"/>
        <v>0.14127436155078246</v>
      </c>
      <c r="AW508" s="113">
        <f t="shared" si="627"/>
        <v>0.12567530948178224</v>
      </c>
      <c r="AY508" s="111" t="s">
        <v>54</v>
      </c>
      <c r="AZ508" s="179">
        <f t="shared" si="590"/>
        <v>9.8589724143554412E-3</v>
      </c>
      <c r="BA508" s="179">
        <f t="shared" si="591"/>
        <v>1.0121354741037125E-2</v>
      </c>
      <c r="BB508" s="179">
        <f t="shared" si="592"/>
        <v>9.2300738795699985E-3</v>
      </c>
      <c r="BC508" s="179">
        <f t="shared" si="593"/>
        <v>1.0550618912194618E-2</v>
      </c>
      <c r="BD508" s="179">
        <f t="shared" si="594"/>
        <v>1.1024392211996081E-2</v>
      </c>
      <c r="BE508" s="179">
        <f t="shared" si="595"/>
        <v>1.115347702941852E-2</v>
      </c>
      <c r="BF508" s="179">
        <f t="shared" si="596"/>
        <v>9.11615924234465E-3</v>
      </c>
      <c r="BG508" s="179">
        <f t="shared" si="597"/>
        <v>9.8892053085547719E-3</v>
      </c>
      <c r="BH508" s="179">
        <f t="shared" si="598"/>
        <v>8.7972716637247581E-3</v>
      </c>
    </row>
    <row r="509" spans="2:68" s="108" customFormat="1" x14ac:dyDescent="0.25">
      <c r="B509" s="107"/>
      <c r="E509" s="109" t="s">
        <v>46</v>
      </c>
      <c r="F509" s="110" t="s">
        <v>67</v>
      </c>
      <c r="G509" s="111" t="s">
        <v>55</v>
      </c>
      <c r="H509" s="70">
        <v>907169</v>
      </c>
      <c r="I509" s="70">
        <v>937109</v>
      </c>
      <c r="J509" s="70">
        <v>948672</v>
      </c>
      <c r="K509" s="70">
        <v>974736</v>
      </c>
      <c r="L509" s="70">
        <v>1006261</v>
      </c>
      <c r="M509" s="70">
        <v>1018173</v>
      </c>
      <c r="N509" s="70">
        <v>1049004</v>
      </c>
      <c r="O509" s="112">
        <v>1044928</v>
      </c>
      <c r="P509" s="112">
        <v>1025334</v>
      </c>
      <c r="R509" s="111" t="s">
        <v>55</v>
      </c>
      <c r="S509" s="81">
        <v>1.8</v>
      </c>
      <c r="T509" s="81">
        <v>2.1</v>
      </c>
      <c r="U509" s="81">
        <v>2.1</v>
      </c>
      <c r="V509" s="81">
        <v>2.2999999999999998</v>
      </c>
      <c r="W509" s="81">
        <v>2.1</v>
      </c>
      <c r="X509" s="81">
        <v>2.4</v>
      </c>
      <c r="Y509" s="81">
        <v>1.9</v>
      </c>
      <c r="Z509" s="81">
        <v>1.7</v>
      </c>
      <c r="AA509" s="81">
        <v>1.7</v>
      </c>
      <c r="AC509" s="111" t="s">
        <v>55</v>
      </c>
      <c r="AD509" s="70">
        <f t="shared" si="602"/>
        <v>32658.083999999999</v>
      </c>
      <c r="AE509" s="70">
        <f t="shared" si="583"/>
        <v>39358.578000000001</v>
      </c>
      <c r="AF509" s="70">
        <f t="shared" si="584"/>
        <v>39844.224000000002</v>
      </c>
      <c r="AG509" s="70">
        <f t="shared" si="585"/>
        <v>44837.856</v>
      </c>
      <c r="AH509" s="70">
        <f t="shared" si="586"/>
        <v>42262.962</v>
      </c>
      <c r="AI509" s="70">
        <f t="shared" si="587"/>
        <v>48872.303999999996</v>
      </c>
      <c r="AJ509" s="70">
        <f t="shared" si="588"/>
        <v>39862.151999999995</v>
      </c>
      <c r="AK509" s="70">
        <f t="shared" si="599"/>
        <v>35527.551999999996</v>
      </c>
      <c r="AL509" s="70">
        <f t="shared" si="600"/>
        <v>34861.356</v>
      </c>
      <c r="AN509" s="111" t="s">
        <v>55</v>
      </c>
      <c r="AO509" s="113">
        <f t="shared" ref="AO509:AW509" si="628">H509/H507</f>
        <v>0.26512455464011592</v>
      </c>
      <c r="AP509" s="113">
        <f t="shared" si="628"/>
        <v>0.26607508520794598</v>
      </c>
      <c r="AQ509" s="113">
        <f t="shared" si="628"/>
        <v>0.26337784912198775</v>
      </c>
      <c r="AR509" s="113">
        <f t="shared" si="628"/>
        <v>0.25928953513952357</v>
      </c>
      <c r="AS509" s="113">
        <f t="shared" si="628"/>
        <v>0.2602469584090466</v>
      </c>
      <c r="AT509" s="113">
        <f t="shared" si="628"/>
        <v>0.25859123722756022</v>
      </c>
      <c r="AU509" s="113">
        <f t="shared" si="628"/>
        <v>0.26366225220492689</v>
      </c>
      <c r="AV509" s="113">
        <f t="shared" si="628"/>
        <v>0.25988837709044244</v>
      </c>
      <c r="AW509" s="113">
        <f t="shared" si="628"/>
        <v>0.24830078343043777</v>
      </c>
      <c r="AY509" s="111" t="s">
        <v>55</v>
      </c>
      <c r="AZ509" s="179">
        <f t="shared" si="590"/>
        <v>9.5444839670441733E-3</v>
      </c>
      <c r="BA509" s="179">
        <f t="shared" si="591"/>
        <v>1.1175153578733731E-2</v>
      </c>
      <c r="BB509" s="179">
        <f t="shared" si="592"/>
        <v>1.1061869663123487E-2</v>
      </c>
      <c r="BC509" s="179">
        <f t="shared" si="593"/>
        <v>1.1927318616418082E-2</v>
      </c>
      <c r="BD509" s="179">
        <f t="shared" si="594"/>
        <v>1.0930372253179959E-2</v>
      </c>
      <c r="BE509" s="179">
        <f t="shared" si="595"/>
        <v>1.2412379386922889E-2</v>
      </c>
      <c r="BF509" s="179">
        <f t="shared" si="596"/>
        <v>1.0019165583787222E-2</v>
      </c>
      <c r="BG509" s="179">
        <f t="shared" si="597"/>
        <v>8.8362048210750416E-3</v>
      </c>
      <c r="BH509" s="179">
        <f t="shared" si="598"/>
        <v>8.4422266366348843E-3</v>
      </c>
    </row>
    <row r="510" spans="2:68" s="108" customFormat="1" x14ac:dyDescent="0.25">
      <c r="B510" s="107"/>
      <c r="E510" s="109" t="s">
        <v>46</v>
      </c>
      <c r="F510" s="110" t="s">
        <v>67</v>
      </c>
      <c r="G510" s="111" t="s">
        <v>130</v>
      </c>
      <c r="H510" s="70">
        <v>414924</v>
      </c>
      <c r="I510" s="70">
        <v>451526</v>
      </c>
      <c r="J510" s="70">
        <v>449040</v>
      </c>
      <c r="K510" s="70">
        <v>444421</v>
      </c>
      <c r="L510" s="70">
        <v>444485</v>
      </c>
      <c r="M510" s="70">
        <v>524746</v>
      </c>
      <c r="N510" s="70">
        <v>487050</v>
      </c>
      <c r="O510" s="112">
        <v>487601</v>
      </c>
      <c r="P510" s="112">
        <v>531783</v>
      </c>
      <c r="R510" s="111" t="s">
        <v>130</v>
      </c>
      <c r="S510" s="220">
        <v>2.7</v>
      </c>
      <c r="T510" s="220">
        <v>2.9</v>
      </c>
      <c r="U510" s="220">
        <v>3</v>
      </c>
      <c r="V510" s="220">
        <v>3</v>
      </c>
      <c r="W510" s="220">
        <v>3.7</v>
      </c>
      <c r="X510" s="220">
        <v>3.7</v>
      </c>
      <c r="Y510" s="220">
        <v>4</v>
      </c>
      <c r="Z510" s="220">
        <v>3.7</v>
      </c>
      <c r="AA510" s="220">
        <v>3.5</v>
      </c>
      <c r="AC510" s="111" t="s">
        <v>130</v>
      </c>
      <c r="AD510" s="70">
        <f t="shared" si="602"/>
        <v>22405.896000000001</v>
      </c>
      <c r="AE510" s="70">
        <f t="shared" si="583"/>
        <v>26188.507999999998</v>
      </c>
      <c r="AF510" s="70">
        <f t="shared" si="584"/>
        <v>26942.400000000001</v>
      </c>
      <c r="AG510" s="70">
        <f t="shared" si="585"/>
        <v>26665.26</v>
      </c>
      <c r="AH510" s="70">
        <f t="shared" si="586"/>
        <v>32891.89</v>
      </c>
      <c r="AI510" s="70">
        <f t="shared" si="587"/>
        <v>38831.204000000005</v>
      </c>
      <c r="AJ510" s="70">
        <f t="shared" si="588"/>
        <v>38964</v>
      </c>
      <c r="AK510" s="70">
        <f t="shared" si="599"/>
        <v>36082.474000000002</v>
      </c>
      <c r="AL510" s="70">
        <f t="shared" si="600"/>
        <v>37224.81</v>
      </c>
      <c r="AN510" s="111" t="s">
        <v>130</v>
      </c>
      <c r="AO510" s="113">
        <f t="shared" ref="AO510:AW510" si="629">H510/H507</f>
        <v>0.12126355806855774</v>
      </c>
      <c r="AP510" s="113">
        <f t="shared" si="629"/>
        <v>0.12820260922006194</v>
      </c>
      <c r="AQ510" s="113">
        <f t="shared" si="629"/>
        <v>0.12466604829671096</v>
      </c>
      <c r="AR510" s="113">
        <f t="shared" si="629"/>
        <v>0.11822043558075439</v>
      </c>
      <c r="AS510" s="113">
        <f t="shared" si="629"/>
        <v>0.1149561289848708</v>
      </c>
      <c r="AT510" s="113">
        <f t="shared" si="629"/>
        <v>0.13327275165439795</v>
      </c>
      <c r="AU510" s="113">
        <f t="shared" si="629"/>
        <v>0.12241774095848026</v>
      </c>
      <c r="AV510" s="113">
        <f t="shared" si="629"/>
        <v>0.12127326720853189</v>
      </c>
      <c r="AW510" s="113">
        <f t="shared" si="629"/>
        <v>0.1287796323100458</v>
      </c>
      <c r="AY510" s="111" t="s">
        <v>130</v>
      </c>
      <c r="AZ510" s="179">
        <f t="shared" si="590"/>
        <v>6.5482321357021181E-3</v>
      </c>
      <c r="BA510" s="179">
        <f t="shared" si="591"/>
        <v>7.4357513347635918E-3</v>
      </c>
      <c r="BB510" s="179">
        <f t="shared" si="592"/>
        <v>7.4799628978026575E-3</v>
      </c>
      <c r="BC510" s="179">
        <f t="shared" si="593"/>
        <v>7.0932261348452628E-3</v>
      </c>
      <c r="BD510" s="179">
        <f t="shared" si="594"/>
        <v>8.50675354488044E-3</v>
      </c>
      <c r="BE510" s="179">
        <f t="shared" si="595"/>
        <v>9.862183622425448E-3</v>
      </c>
      <c r="BF510" s="179">
        <f t="shared" si="596"/>
        <v>9.7934192766784209E-3</v>
      </c>
      <c r="BG510" s="179">
        <f t="shared" si="597"/>
        <v>8.9742217734313599E-3</v>
      </c>
      <c r="BH510" s="179">
        <f t="shared" si="598"/>
        <v>9.0145742617032051E-3</v>
      </c>
    </row>
    <row r="511" spans="2:68" s="108" customFormat="1" x14ac:dyDescent="0.25">
      <c r="B511" s="107"/>
      <c r="E511" s="109" t="s">
        <v>46</v>
      </c>
      <c r="F511" s="110" t="s">
        <v>67</v>
      </c>
      <c r="G511" s="111" t="s">
        <v>131</v>
      </c>
      <c r="H511" s="112">
        <v>1374517</v>
      </c>
      <c r="I511" s="112">
        <v>1457192</v>
      </c>
      <c r="J511" s="112">
        <v>1550193</v>
      </c>
      <c r="K511" s="112">
        <v>1635235</v>
      </c>
      <c r="L511" s="112">
        <v>1760436</v>
      </c>
      <c r="M511" s="112">
        <v>1785577</v>
      </c>
      <c r="N511" s="112">
        <v>1818115</v>
      </c>
      <c r="O511" s="112">
        <v>1920132</v>
      </c>
      <c r="P511" s="112">
        <v>2053322</v>
      </c>
      <c r="R511" s="111" t="s">
        <v>131</v>
      </c>
      <c r="S511" s="220">
        <v>1.5</v>
      </c>
      <c r="T511" s="220">
        <v>4.2</v>
      </c>
      <c r="U511" s="220">
        <v>1.7</v>
      </c>
      <c r="V511" s="220">
        <v>1.7</v>
      </c>
      <c r="W511" s="220">
        <v>1.6</v>
      </c>
      <c r="X511" s="220">
        <v>1.1000000000000001</v>
      </c>
      <c r="Y511" s="220">
        <v>1.9</v>
      </c>
      <c r="Z511" s="220">
        <v>1.7</v>
      </c>
      <c r="AA511" s="220">
        <v>1.3</v>
      </c>
      <c r="AC511" s="111" t="s">
        <v>131</v>
      </c>
      <c r="AD511" s="112">
        <f t="shared" si="602"/>
        <v>41235.51</v>
      </c>
      <c r="AE511" s="112">
        <f t="shared" si="583"/>
        <v>122404.12800000001</v>
      </c>
      <c r="AF511" s="112">
        <f t="shared" si="584"/>
        <v>52706.562000000005</v>
      </c>
      <c r="AG511" s="112">
        <f t="shared" si="585"/>
        <v>55597.99</v>
      </c>
      <c r="AH511" s="112">
        <f t="shared" si="586"/>
        <v>56333.952000000005</v>
      </c>
      <c r="AI511" s="112">
        <f t="shared" si="587"/>
        <v>39282.694000000003</v>
      </c>
      <c r="AJ511" s="112">
        <f t="shared" si="588"/>
        <v>69088.37</v>
      </c>
      <c r="AK511" s="112">
        <f t="shared" si="599"/>
        <v>65284.487999999998</v>
      </c>
      <c r="AL511" s="112">
        <f t="shared" si="600"/>
        <v>53386.372000000003</v>
      </c>
      <c r="AN511" s="111" t="s">
        <v>131</v>
      </c>
      <c r="AO511" s="113">
        <f t="shared" ref="AO511:AW511" si="630">H511/H507</f>
        <v>0.40170928180996945</v>
      </c>
      <c r="AP511" s="113">
        <f t="shared" si="630"/>
        <v>0.41374320976998114</v>
      </c>
      <c r="AQ511" s="113">
        <f t="shared" si="630"/>
        <v>0.4303768826991432</v>
      </c>
      <c r="AR511" s="113">
        <f t="shared" si="630"/>
        <v>0.43498888211154491</v>
      </c>
      <c r="AS511" s="113">
        <f t="shared" si="630"/>
        <v>0.45529749684603532</v>
      </c>
      <c r="AT511" s="113">
        <f t="shared" si="630"/>
        <v>0.45349323307048539</v>
      </c>
      <c r="AU511" s="113">
        <f t="shared" si="630"/>
        <v>0.45697470711985905</v>
      </c>
      <c r="AV511" s="113">
        <f t="shared" si="630"/>
        <v>0.47756399415024325</v>
      </c>
      <c r="AW511" s="113">
        <f t="shared" si="630"/>
        <v>0.4972442747777342</v>
      </c>
      <c r="AY511" s="111" t="s">
        <v>131</v>
      </c>
      <c r="AZ511" s="179">
        <f t="shared" si="590"/>
        <v>1.2051278454299083E-2</v>
      </c>
      <c r="BA511" s="179">
        <f t="shared" si="591"/>
        <v>3.4754429620678415E-2</v>
      </c>
      <c r="BB511" s="179">
        <f t="shared" si="592"/>
        <v>1.463281401177087E-2</v>
      </c>
      <c r="BC511" s="179">
        <f t="shared" si="593"/>
        <v>1.4789621991792526E-2</v>
      </c>
      <c r="BD511" s="179">
        <f t="shared" si="594"/>
        <v>1.4569519899073131E-2</v>
      </c>
      <c r="BE511" s="179">
        <f t="shared" si="595"/>
        <v>9.9768511275506802E-3</v>
      </c>
      <c r="BF511" s="179">
        <f t="shared" si="596"/>
        <v>1.7365038870554642E-2</v>
      </c>
      <c r="BG511" s="179">
        <f t="shared" si="597"/>
        <v>1.623717580110827E-2</v>
      </c>
      <c r="BH511" s="179">
        <f t="shared" si="598"/>
        <v>1.2928351144221089E-2</v>
      </c>
    </row>
    <row r="512" spans="2:68" s="87" customFormat="1" x14ac:dyDescent="0.25">
      <c r="B512" s="84"/>
      <c r="C512" s="85"/>
      <c r="D512" s="85"/>
      <c r="E512" s="109" t="s">
        <v>4</v>
      </c>
      <c r="F512" s="110" t="s">
        <v>67</v>
      </c>
      <c r="G512" s="195" t="s">
        <v>7</v>
      </c>
      <c r="H512" s="69">
        <v>1686387</v>
      </c>
      <c r="I512" s="69">
        <v>1732295</v>
      </c>
      <c r="J512" s="69">
        <v>1775101</v>
      </c>
      <c r="K512" s="69">
        <v>1853629</v>
      </c>
      <c r="L512" s="69">
        <v>1908028</v>
      </c>
      <c r="M512" s="69">
        <v>1941105</v>
      </c>
      <c r="N512" s="69">
        <v>1962926</v>
      </c>
      <c r="O512" s="69">
        <v>1981121</v>
      </c>
      <c r="P512" s="69">
        <v>2035273</v>
      </c>
      <c r="R512" s="195" t="s">
        <v>7</v>
      </c>
      <c r="S512" s="226">
        <v>1.1000000000000001</v>
      </c>
      <c r="T512" s="226">
        <v>0.7</v>
      </c>
      <c r="U512" s="226">
        <v>0.7</v>
      </c>
      <c r="V512" s="226">
        <v>0.6</v>
      </c>
      <c r="W512" s="226">
        <v>0.6</v>
      </c>
      <c r="X512" s="226">
        <v>0.7</v>
      </c>
      <c r="Y512" s="226">
        <v>0.6</v>
      </c>
      <c r="Z512" s="226">
        <v>0.6</v>
      </c>
      <c r="AA512" s="226">
        <v>0.6</v>
      </c>
      <c r="AC512" s="195" t="s">
        <v>7</v>
      </c>
      <c r="AD512" s="69">
        <f t="shared" si="602"/>
        <v>37100.514000000003</v>
      </c>
      <c r="AE512" s="69">
        <f t="shared" si="583"/>
        <v>24252.13</v>
      </c>
      <c r="AF512" s="69">
        <f t="shared" si="584"/>
        <v>24851.414000000001</v>
      </c>
      <c r="AG512" s="69">
        <f t="shared" si="585"/>
        <v>22243.547999999999</v>
      </c>
      <c r="AH512" s="69">
        <f t="shared" si="586"/>
        <v>22896.335999999999</v>
      </c>
      <c r="AI512" s="69">
        <f t="shared" si="587"/>
        <v>27175.47</v>
      </c>
      <c r="AJ512" s="69">
        <f t="shared" si="588"/>
        <v>23555.111999999997</v>
      </c>
      <c r="AK512" s="69">
        <f t="shared" si="599"/>
        <v>23773.451999999997</v>
      </c>
      <c r="AL512" s="69">
        <f t="shared" si="600"/>
        <v>24423.276000000002</v>
      </c>
      <c r="AN512" s="195" t="s">
        <v>7</v>
      </c>
      <c r="AO512" s="98">
        <f t="shared" ref="AO512:AW512" si="631">H512/H512</f>
        <v>1</v>
      </c>
      <c r="AP512" s="98">
        <f t="shared" si="631"/>
        <v>1</v>
      </c>
      <c r="AQ512" s="98">
        <f t="shared" si="631"/>
        <v>1</v>
      </c>
      <c r="AR512" s="98">
        <f t="shared" si="631"/>
        <v>1</v>
      </c>
      <c r="AS512" s="98">
        <f t="shared" si="631"/>
        <v>1</v>
      </c>
      <c r="AT512" s="98">
        <f t="shared" si="631"/>
        <v>1</v>
      </c>
      <c r="AU512" s="98">
        <f t="shared" si="631"/>
        <v>1</v>
      </c>
      <c r="AV512" s="98">
        <f t="shared" si="631"/>
        <v>1</v>
      </c>
      <c r="AW512" s="98">
        <f t="shared" si="631"/>
        <v>1</v>
      </c>
      <c r="AX512" s="191"/>
      <c r="AY512" s="195" t="s">
        <v>7</v>
      </c>
      <c r="AZ512" s="178">
        <f t="shared" si="590"/>
        <v>2.2000000000000002E-2</v>
      </c>
      <c r="BA512" s="178">
        <f t="shared" si="591"/>
        <v>1.3999999999999999E-2</v>
      </c>
      <c r="BB512" s="178">
        <f t="shared" si="592"/>
        <v>1.3999999999999999E-2</v>
      </c>
      <c r="BC512" s="178">
        <f t="shared" si="593"/>
        <v>1.2E-2</v>
      </c>
      <c r="BD512" s="178">
        <f t="shared" si="594"/>
        <v>1.2E-2</v>
      </c>
      <c r="BE512" s="178">
        <f t="shared" si="595"/>
        <v>1.3999999999999999E-2</v>
      </c>
      <c r="BF512" s="178">
        <f t="shared" si="596"/>
        <v>1.2E-2</v>
      </c>
      <c r="BG512" s="178">
        <f t="shared" si="597"/>
        <v>1.2E-2</v>
      </c>
      <c r="BH512" s="178">
        <f t="shared" si="598"/>
        <v>1.2E-2</v>
      </c>
      <c r="BI512" s="191"/>
      <c r="BJ512" s="191"/>
      <c r="BK512" s="191"/>
      <c r="BL512" s="191"/>
      <c r="BM512" s="191"/>
      <c r="BN512" s="191"/>
      <c r="BO512" s="191"/>
      <c r="BP512" s="191"/>
    </row>
    <row r="513" spans="2:68" s="108" customFormat="1" x14ac:dyDescent="0.25">
      <c r="B513" s="107"/>
      <c r="E513" s="109" t="s">
        <v>4</v>
      </c>
      <c r="F513" s="110" t="s">
        <v>67</v>
      </c>
      <c r="G513" s="111" t="s">
        <v>54</v>
      </c>
      <c r="H513" s="112">
        <v>375615</v>
      </c>
      <c r="I513" s="112">
        <v>370876</v>
      </c>
      <c r="J513" s="112">
        <v>347418</v>
      </c>
      <c r="K513" s="112">
        <v>386131</v>
      </c>
      <c r="L513" s="112">
        <v>366394</v>
      </c>
      <c r="M513" s="112">
        <v>313945</v>
      </c>
      <c r="N513" s="112">
        <v>360915</v>
      </c>
      <c r="O513" s="112">
        <v>339362</v>
      </c>
      <c r="P513" s="112">
        <v>313430</v>
      </c>
      <c r="R513" s="111" t="s">
        <v>54</v>
      </c>
      <c r="S513" s="220">
        <v>3.2</v>
      </c>
      <c r="T513" s="220">
        <v>3.2</v>
      </c>
      <c r="U513" s="220">
        <v>3.5</v>
      </c>
      <c r="V513" s="220">
        <v>3.3</v>
      </c>
      <c r="W513" s="220">
        <v>3.3</v>
      </c>
      <c r="X513" s="220">
        <v>4.9000000000000004</v>
      </c>
      <c r="Y513" s="220">
        <v>4.0999999999999996</v>
      </c>
      <c r="Z513" s="220">
        <v>5.8</v>
      </c>
      <c r="AA513" s="220">
        <v>5.7</v>
      </c>
      <c r="AC513" s="111" t="s">
        <v>54</v>
      </c>
      <c r="AD513" s="112">
        <f t="shared" si="602"/>
        <v>24039.360000000001</v>
      </c>
      <c r="AE513" s="112">
        <f t="shared" si="583"/>
        <v>23736.063999999998</v>
      </c>
      <c r="AF513" s="112">
        <f t="shared" si="584"/>
        <v>24319.26</v>
      </c>
      <c r="AG513" s="112">
        <f t="shared" si="585"/>
        <v>25484.646000000001</v>
      </c>
      <c r="AH513" s="112">
        <f t="shared" si="586"/>
        <v>24182.004000000001</v>
      </c>
      <c r="AI513" s="112">
        <f t="shared" si="587"/>
        <v>30766.61</v>
      </c>
      <c r="AJ513" s="112">
        <f t="shared" si="588"/>
        <v>29595.029999999995</v>
      </c>
      <c r="AK513" s="112">
        <f t="shared" si="599"/>
        <v>39365.991999999998</v>
      </c>
      <c r="AL513" s="112">
        <f t="shared" si="600"/>
        <v>35731.019999999997</v>
      </c>
      <c r="AN513" s="111" t="s">
        <v>54</v>
      </c>
      <c r="AO513" s="113">
        <f t="shared" ref="AO513:AW513" si="632">H513/H512</f>
        <v>0.22273357183137679</v>
      </c>
      <c r="AP513" s="113">
        <f t="shared" si="632"/>
        <v>0.21409517432077099</v>
      </c>
      <c r="AQ513" s="113">
        <f t="shared" si="632"/>
        <v>0.1957173141133941</v>
      </c>
      <c r="AR513" s="113">
        <f t="shared" si="632"/>
        <v>0.20831083242655354</v>
      </c>
      <c r="AS513" s="113">
        <f t="shared" si="632"/>
        <v>0.19202758030804579</v>
      </c>
      <c r="AT513" s="113">
        <f t="shared" si="632"/>
        <v>0.16173519722014007</v>
      </c>
      <c r="AU513" s="113">
        <f t="shared" si="632"/>
        <v>0.18386582071866184</v>
      </c>
      <c r="AV513" s="113">
        <f t="shared" si="632"/>
        <v>0.17129796716101642</v>
      </c>
      <c r="AW513" s="113">
        <f t="shared" si="632"/>
        <v>0.15399899669479231</v>
      </c>
      <c r="AY513" s="111" t="s">
        <v>54</v>
      </c>
      <c r="AZ513" s="179">
        <f t="shared" si="590"/>
        <v>1.4254948597208114E-2</v>
      </c>
      <c r="BA513" s="179">
        <f t="shared" si="591"/>
        <v>1.3702091156529343E-2</v>
      </c>
      <c r="BB513" s="179">
        <f t="shared" si="592"/>
        <v>1.3700211987937588E-2</v>
      </c>
      <c r="BC513" s="179">
        <f t="shared" si="593"/>
        <v>1.3748514940152534E-2</v>
      </c>
      <c r="BD513" s="179">
        <f t="shared" si="594"/>
        <v>1.2673820300331019E-2</v>
      </c>
      <c r="BE513" s="179">
        <f t="shared" si="595"/>
        <v>1.5850049327573727E-2</v>
      </c>
      <c r="BF513" s="179">
        <f t="shared" si="596"/>
        <v>1.5076997298930271E-2</v>
      </c>
      <c r="BG513" s="179">
        <f t="shared" si="597"/>
        <v>1.9870564190677904E-2</v>
      </c>
      <c r="BH513" s="179">
        <f t="shared" si="598"/>
        <v>1.7555885623206324E-2</v>
      </c>
    </row>
    <row r="514" spans="2:68" s="108" customFormat="1" x14ac:dyDescent="0.25">
      <c r="B514" s="107"/>
      <c r="E514" s="109" t="s">
        <v>4</v>
      </c>
      <c r="F514" s="110" t="s">
        <v>67</v>
      </c>
      <c r="G514" s="111" t="s">
        <v>55</v>
      </c>
      <c r="H514" s="70">
        <v>488772</v>
      </c>
      <c r="I514" s="70">
        <v>503387</v>
      </c>
      <c r="J514" s="70">
        <v>506507</v>
      </c>
      <c r="K514" s="70">
        <v>525533</v>
      </c>
      <c r="L514" s="70">
        <v>536178</v>
      </c>
      <c r="M514" s="70">
        <v>576382</v>
      </c>
      <c r="N514" s="70">
        <v>583083</v>
      </c>
      <c r="O514" s="112">
        <v>568595</v>
      </c>
      <c r="P514" s="112">
        <v>542481</v>
      </c>
      <c r="R514" s="111" t="s">
        <v>55</v>
      </c>
      <c r="S514" s="81">
        <v>2.7</v>
      </c>
      <c r="T514" s="81">
        <v>2.9</v>
      </c>
      <c r="U514" s="81">
        <v>3</v>
      </c>
      <c r="V514" s="81">
        <v>3</v>
      </c>
      <c r="W514" s="81">
        <v>3.5</v>
      </c>
      <c r="X514" s="81">
        <v>4.0999999999999996</v>
      </c>
      <c r="Y514" s="81">
        <v>2.2999999999999998</v>
      </c>
      <c r="Z514" s="81">
        <v>3.7</v>
      </c>
      <c r="AA514" s="81">
        <v>3.6</v>
      </c>
      <c r="AC514" s="111" t="s">
        <v>55</v>
      </c>
      <c r="AD514" s="70">
        <f t="shared" si="602"/>
        <v>26393.688000000002</v>
      </c>
      <c r="AE514" s="70">
        <f t="shared" si="583"/>
        <v>29196.446</v>
      </c>
      <c r="AF514" s="70">
        <f t="shared" si="584"/>
        <v>30390.42</v>
      </c>
      <c r="AG514" s="70">
        <f t="shared" si="585"/>
        <v>31531.98</v>
      </c>
      <c r="AH514" s="70">
        <f t="shared" si="586"/>
        <v>37532.46</v>
      </c>
      <c r="AI514" s="70">
        <f t="shared" si="587"/>
        <v>47263.323999999993</v>
      </c>
      <c r="AJ514" s="70">
        <f t="shared" si="588"/>
        <v>26821.817999999999</v>
      </c>
      <c r="AK514" s="70">
        <f t="shared" si="599"/>
        <v>42076.03</v>
      </c>
      <c r="AL514" s="70">
        <f t="shared" si="600"/>
        <v>39058.632000000005</v>
      </c>
      <c r="AN514" s="111" t="s">
        <v>55</v>
      </c>
      <c r="AO514" s="113">
        <f t="shared" ref="AO514:AW514" si="633">H514/H512</f>
        <v>0.28983382817822956</v>
      </c>
      <c r="AP514" s="113">
        <f t="shared" si="633"/>
        <v>0.29058965130073111</v>
      </c>
      <c r="AQ514" s="113">
        <f t="shared" si="633"/>
        <v>0.28533982010037739</v>
      </c>
      <c r="AR514" s="113">
        <f t="shared" si="633"/>
        <v>0.28351574128371965</v>
      </c>
      <c r="AS514" s="113">
        <f t="shared" si="633"/>
        <v>0.28101159941049081</v>
      </c>
      <c r="AT514" s="113">
        <f t="shared" si="633"/>
        <v>0.29693499321262889</v>
      </c>
      <c r="AU514" s="113">
        <f t="shared" si="633"/>
        <v>0.29704787648642894</v>
      </c>
      <c r="AV514" s="113">
        <f t="shared" si="633"/>
        <v>0.28700669974221665</v>
      </c>
      <c r="AW514" s="113">
        <f t="shared" si="633"/>
        <v>0.26653967305614529</v>
      </c>
      <c r="AY514" s="111" t="s">
        <v>55</v>
      </c>
      <c r="AZ514" s="179">
        <f t="shared" si="590"/>
        <v>1.5651026721624398E-2</v>
      </c>
      <c r="BA514" s="179">
        <f t="shared" si="591"/>
        <v>1.6854199775442405E-2</v>
      </c>
      <c r="BB514" s="179">
        <f t="shared" si="592"/>
        <v>1.7120389206022643E-2</v>
      </c>
      <c r="BC514" s="179">
        <f t="shared" si="593"/>
        <v>1.7010944477023178E-2</v>
      </c>
      <c r="BD514" s="179">
        <f t="shared" si="594"/>
        <v>1.9670811958734356E-2</v>
      </c>
      <c r="BE514" s="179">
        <f t="shared" si="595"/>
        <v>2.4348669443435566E-2</v>
      </c>
      <c r="BF514" s="179">
        <f t="shared" si="596"/>
        <v>1.3664202318375731E-2</v>
      </c>
      <c r="BG514" s="179">
        <f t="shared" si="597"/>
        <v>2.123849578092403E-2</v>
      </c>
      <c r="BH514" s="179">
        <f t="shared" si="598"/>
        <v>1.9190856460042462E-2</v>
      </c>
    </row>
    <row r="515" spans="2:68" s="108" customFormat="1" x14ac:dyDescent="0.25">
      <c r="B515" s="107"/>
      <c r="E515" s="109" t="s">
        <v>4</v>
      </c>
      <c r="F515" s="110" t="s">
        <v>67</v>
      </c>
      <c r="G515" s="111" t="s">
        <v>130</v>
      </c>
      <c r="H515" s="70">
        <v>212629</v>
      </c>
      <c r="I515" s="70">
        <v>219735</v>
      </c>
      <c r="J515" s="70">
        <v>233046</v>
      </c>
      <c r="K515" s="70">
        <v>228823</v>
      </c>
      <c r="L515" s="70">
        <v>237998</v>
      </c>
      <c r="M515" s="70">
        <v>276593</v>
      </c>
      <c r="N515" s="70">
        <v>257614</v>
      </c>
      <c r="O515" s="112">
        <v>259509</v>
      </c>
      <c r="P515" s="112">
        <v>285991</v>
      </c>
      <c r="R515" s="111" t="s">
        <v>130</v>
      </c>
      <c r="S515" s="220">
        <v>3.9</v>
      </c>
      <c r="T515" s="220">
        <v>4.4000000000000004</v>
      </c>
      <c r="U515" s="220">
        <v>4.4000000000000004</v>
      </c>
      <c r="V515" s="220">
        <v>4.5999999999999996</v>
      </c>
      <c r="W515" s="220">
        <v>5.4</v>
      </c>
      <c r="X515" s="220">
        <v>6</v>
      </c>
      <c r="Y515" s="220">
        <v>5.4</v>
      </c>
      <c r="Z515" s="220">
        <v>5.8</v>
      </c>
      <c r="AA515" s="220">
        <v>5.7</v>
      </c>
      <c r="AC515" s="111" t="s">
        <v>130</v>
      </c>
      <c r="AD515" s="70">
        <f t="shared" si="602"/>
        <v>16585.061999999998</v>
      </c>
      <c r="AE515" s="70">
        <f t="shared" si="583"/>
        <v>19336.680000000004</v>
      </c>
      <c r="AF515" s="70">
        <f t="shared" si="584"/>
        <v>20508.048000000003</v>
      </c>
      <c r="AG515" s="70">
        <f t="shared" si="585"/>
        <v>21051.715999999997</v>
      </c>
      <c r="AH515" s="70">
        <f t="shared" si="586"/>
        <v>25703.784000000003</v>
      </c>
      <c r="AI515" s="70">
        <f t="shared" si="587"/>
        <v>33191.160000000003</v>
      </c>
      <c r="AJ515" s="70">
        <f t="shared" si="588"/>
        <v>27822.312000000002</v>
      </c>
      <c r="AK515" s="70">
        <f t="shared" si="599"/>
        <v>30103.043999999998</v>
      </c>
      <c r="AL515" s="70">
        <f t="shared" si="600"/>
        <v>32602.973999999998</v>
      </c>
      <c r="AN515" s="111" t="s">
        <v>130</v>
      </c>
      <c r="AO515" s="113">
        <f t="shared" ref="AO515:AW515" si="634">H515/H512</f>
        <v>0.12608553078267326</v>
      </c>
      <c r="AP515" s="113">
        <f t="shared" si="634"/>
        <v>0.12684617804704165</v>
      </c>
      <c r="AQ515" s="113">
        <f t="shared" si="634"/>
        <v>0.13128605076556207</v>
      </c>
      <c r="AR515" s="113">
        <f t="shared" si="634"/>
        <v>0.12344595385592262</v>
      </c>
      <c r="AS515" s="113">
        <f t="shared" si="634"/>
        <v>0.12473506678099064</v>
      </c>
      <c r="AT515" s="113">
        <f t="shared" si="634"/>
        <v>0.14249254934689262</v>
      </c>
      <c r="AU515" s="113">
        <f t="shared" si="634"/>
        <v>0.13123979202476302</v>
      </c>
      <c r="AV515" s="113">
        <f t="shared" si="634"/>
        <v>0.13099098944486481</v>
      </c>
      <c r="AW515" s="113">
        <f t="shared" si="634"/>
        <v>0.14051726721673211</v>
      </c>
      <c r="AY515" s="111" t="s">
        <v>130</v>
      </c>
      <c r="AZ515" s="179">
        <f t="shared" si="590"/>
        <v>9.8346714010485135E-3</v>
      </c>
      <c r="BA515" s="179">
        <f t="shared" si="591"/>
        <v>1.1162463668139666E-2</v>
      </c>
      <c r="BB515" s="179">
        <f t="shared" si="592"/>
        <v>1.1553172467369463E-2</v>
      </c>
      <c r="BC515" s="179">
        <f t="shared" si="593"/>
        <v>1.135702775474488E-2</v>
      </c>
      <c r="BD515" s="179">
        <f t="shared" si="594"/>
        <v>1.347138721234699E-2</v>
      </c>
      <c r="BE515" s="179">
        <f t="shared" si="595"/>
        <v>1.7099105921627115E-2</v>
      </c>
      <c r="BF515" s="179">
        <f t="shared" si="596"/>
        <v>1.4173897538674407E-2</v>
      </c>
      <c r="BG515" s="179">
        <f t="shared" si="597"/>
        <v>1.5194954775604317E-2</v>
      </c>
      <c r="BH515" s="179">
        <f t="shared" si="598"/>
        <v>1.6018968462707461E-2</v>
      </c>
    </row>
    <row r="516" spans="2:68" s="108" customFormat="1" x14ac:dyDescent="0.25">
      <c r="B516" s="107"/>
      <c r="E516" s="109" t="s">
        <v>4</v>
      </c>
      <c r="F516" s="110" t="s">
        <v>67</v>
      </c>
      <c r="G516" s="111" t="s">
        <v>131</v>
      </c>
      <c r="H516" s="112">
        <v>593817</v>
      </c>
      <c r="I516" s="112">
        <v>631236</v>
      </c>
      <c r="J516" s="112">
        <v>681602</v>
      </c>
      <c r="K516" s="112">
        <v>700409</v>
      </c>
      <c r="L516" s="112">
        <v>760643</v>
      </c>
      <c r="M516" s="112">
        <v>763322</v>
      </c>
      <c r="N516" s="112">
        <v>747911</v>
      </c>
      <c r="O516" s="112">
        <v>813655</v>
      </c>
      <c r="P516" s="112">
        <v>893371</v>
      </c>
      <c r="R516" s="111" t="s">
        <v>131</v>
      </c>
      <c r="S516" s="220">
        <v>1.8</v>
      </c>
      <c r="T516" s="220">
        <v>2.4</v>
      </c>
      <c r="U516" s="220">
        <v>2.5</v>
      </c>
      <c r="V516" s="220">
        <v>1.4</v>
      </c>
      <c r="W516" s="220">
        <v>2</v>
      </c>
      <c r="X516" s="220" t="s">
        <v>163</v>
      </c>
      <c r="Y516" s="220">
        <v>2.6</v>
      </c>
      <c r="Z516" s="220">
        <v>1.7</v>
      </c>
      <c r="AA516" s="220">
        <v>1.7</v>
      </c>
      <c r="AC516" s="111" t="s">
        <v>131</v>
      </c>
      <c r="AD516" s="112">
        <f t="shared" si="602"/>
        <v>21377.412</v>
      </c>
      <c r="AE516" s="112">
        <f t="shared" si="583"/>
        <v>30299.327999999998</v>
      </c>
      <c r="AF516" s="112">
        <f t="shared" si="584"/>
        <v>34080.1</v>
      </c>
      <c r="AG516" s="112">
        <f t="shared" si="585"/>
        <v>19611.452000000001</v>
      </c>
      <c r="AH516" s="112">
        <f t="shared" si="586"/>
        <v>30425.72</v>
      </c>
      <c r="AI516" s="112" t="e">
        <f t="shared" si="587"/>
        <v>#VALUE!</v>
      </c>
      <c r="AJ516" s="112">
        <f t="shared" si="588"/>
        <v>38891.372000000003</v>
      </c>
      <c r="AK516" s="112">
        <f t="shared" si="599"/>
        <v>27664.27</v>
      </c>
      <c r="AL516" s="112">
        <f t="shared" si="600"/>
        <v>30374.613999999998</v>
      </c>
      <c r="AN516" s="111" t="s">
        <v>131</v>
      </c>
      <c r="AO516" s="113">
        <f t="shared" ref="AO516:AW516" si="635">H516/H512</f>
        <v>0.35212380076459315</v>
      </c>
      <c r="AP516" s="113">
        <f t="shared" si="635"/>
        <v>0.3643929007472746</v>
      </c>
      <c r="AQ516" s="113">
        <f t="shared" si="635"/>
        <v>0.38397927779884072</v>
      </c>
      <c r="AR516" s="113">
        <f t="shared" si="635"/>
        <v>0.37785824455702838</v>
      </c>
      <c r="AS516" s="113">
        <f t="shared" si="635"/>
        <v>0.39865400298108833</v>
      </c>
      <c r="AT516" s="113">
        <f t="shared" si="635"/>
        <v>0.39324096326576874</v>
      </c>
      <c r="AU516" s="113">
        <f t="shared" si="635"/>
        <v>0.38101843880003627</v>
      </c>
      <c r="AV516" s="113">
        <f t="shared" si="635"/>
        <v>0.41070434365190212</v>
      </c>
      <c r="AW516" s="113">
        <f t="shared" si="635"/>
        <v>0.4389440630323303</v>
      </c>
      <c r="AY516" s="111" t="s">
        <v>131</v>
      </c>
      <c r="AZ516" s="179">
        <f t="shared" si="590"/>
        <v>1.2676456827525353E-2</v>
      </c>
      <c r="BA516" s="179">
        <f t="shared" si="591"/>
        <v>1.7490859235869179E-2</v>
      </c>
      <c r="BB516" s="179">
        <f t="shared" si="592"/>
        <v>1.9198963889942036E-2</v>
      </c>
      <c r="BC516" s="179">
        <f t="shared" si="593"/>
        <v>1.0580030847596794E-2</v>
      </c>
      <c r="BD516" s="179">
        <f t="shared" si="594"/>
        <v>1.5946160119243533E-2</v>
      </c>
      <c r="BE516" s="179" t="e">
        <f t="shared" si="595"/>
        <v>#VALUE!</v>
      </c>
      <c r="BF516" s="179">
        <f t="shared" si="596"/>
        <v>1.9812958817601888E-2</v>
      </c>
      <c r="BG516" s="179">
        <f t="shared" si="597"/>
        <v>1.3963947684164672E-2</v>
      </c>
      <c r="BH516" s="179">
        <f t="shared" si="598"/>
        <v>1.4924098143099229E-2</v>
      </c>
    </row>
    <row r="517" spans="2:68" s="87" customFormat="1" x14ac:dyDescent="0.25">
      <c r="B517" s="84"/>
      <c r="C517" s="85"/>
      <c r="D517" s="85"/>
      <c r="E517" s="109" t="s">
        <v>5</v>
      </c>
      <c r="F517" s="110" t="s">
        <v>67</v>
      </c>
      <c r="G517" s="195" t="s">
        <v>7</v>
      </c>
      <c r="H517" s="69">
        <v>1735284</v>
      </c>
      <c r="I517" s="69">
        <v>1789677</v>
      </c>
      <c r="J517" s="69">
        <v>1826842</v>
      </c>
      <c r="K517" s="69">
        <v>1905628</v>
      </c>
      <c r="L517" s="69">
        <v>1958534</v>
      </c>
      <c r="M517" s="69">
        <v>1996279</v>
      </c>
      <c r="N517" s="69">
        <v>2015664</v>
      </c>
      <c r="O517" s="69">
        <v>2039559</v>
      </c>
      <c r="P517" s="69">
        <v>2094130</v>
      </c>
      <c r="R517" s="195" t="s">
        <v>7</v>
      </c>
      <c r="S517" s="226">
        <v>1.1000000000000001</v>
      </c>
      <c r="T517" s="226">
        <v>0.7</v>
      </c>
      <c r="U517" s="226">
        <v>0.7</v>
      </c>
      <c r="V517" s="226">
        <v>0.6</v>
      </c>
      <c r="W517" s="226">
        <v>0.6</v>
      </c>
      <c r="X517" s="226">
        <v>0.7</v>
      </c>
      <c r="Y517" s="226">
        <v>0.6</v>
      </c>
      <c r="Z517" s="226">
        <v>0.6</v>
      </c>
      <c r="AA517" s="226">
        <v>0.6</v>
      </c>
      <c r="AC517" s="195" t="s">
        <v>7</v>
      </c>
      <c r="AD517" s="69">
        <f t="shared" si="602"/>
        <v>38176.248</v>
      </c>
      <c r="AE517" s="69">
        <f t="shared" si="583"/>
        <v>25055.477999999999</v>
      </c>
      <c r="AF517" s="69">
        <f t="shared" si="584"/>
        <v>25575.787999999997</v>
      </c>
      <c r="AG517" s="69">
        <f t="shared" si="585"/>
        <v>22867.536</v>
      </c>
      <c r="AH517" s="69">
        <f t="shared" si="586"/>
        <v>23502.407999999999</v>
      </c>
      <c r="AI517" s="69">
        <f t="shared" si="587"/>
        <v>27947.905999999995</v>
      </c>
      <c r="AJ517" s="69">
        <f t="shared" si="588"/>
        <v>24187.967999999997</v>
      </c>
      <c r="AK517" s="69">
        <f t="shared" si="599"/>
        <v>24474.707999999999</v>
      </c>
      <c r="AL517" s="69">
        <f t="shared" si="600"/>
        <v>25129.56</v>
      </c>
      <c r="AN517" s="195" t="s">
        <v>7</v>
      </c>
      <c r="AO517" s="98">
        <f t="shared" ref="AO517:AW517" si="636">H517/H517</f>
        <v>1</v>
      </c>
      <c r="AP517" s="98">
        <f t="shared" si="636"/>
        <v>1</v>
      </c>
      <c r="AQ517" s="98">
        <f t="shared" si="636"/>
        <v>1</v>
      </c>
      <c r="AR517" s="98">
        <f t="shared" si="636"/>
        <v>1</v>
      </c>
      <c r="AS517" s="98">
        <f t="shared" si="636"/>
        <v>1</v>
      </c>
      <c r="AT517" s="98">
        <f t="shared" si="636"/>
        <v>1</v>
      </c>
      <c r="AU517" s="98">
        <f t="shared" si="636"/>
        <v>1</v>
      </c>
      <c r="AV517" s="98">
        <f t="shared" si="636"/>
        <v>1</v>
      </c>
      <c r="AW517" s="98">
        <f t="shared" si="636"/>
        <v>1</v>
      </c>
      <c r="AX517" s="191"/>
      <c r="AY517" s="195" t="s">
        <v>7</v>
      </c>
      <c r="AZ517" s="178">
        <f t="shared" si="590"/>
        <v>2.2000000000000002E-2</v>
      </c>
      <c r="BA517" s="178">
        <f t="shared" si="591"/>
        <v>1.3999999999999999E-2</v>
      </c>
      <c r="BB517" s="178">
        <f t="shared" si="592"/>
        <v>1.3999999999999999E-2</v>
      </c>
      <c r="BC517" s="178">
        <f t="shared" si="593"/>
        <v>1.2E-2</v>
      </c>
      <c r="BD517" s="178">
        <f t="shared" si="594"/>
        <v>1.2E-2</v>
      </c>
      <c r="BE517" s="178">
        <f t="shared" si="595"/>
        <v>1.3999999999999999E-2</v>
      </c>
      <c r="BF517" s="178">
        <f t="shared" si="596"/>
        <v>1.2E-2</v>
      </c>
      <c r="BG517" s="178">
        <f t="shared" si="597"/>
        <v>1.2E-2</v>
      </c>
      <c r="BH517" s="178">
        <f t="shared" si="598"/>
        <v>1.2E-2</v>
      </c>
      <c r="BI517" s="191"/>
      <c r="BJ517" s="191"/>
      <c r="BK517" s="191"/>
      <c r="BL517" s="191"/>
      <c r="BM517" s="191"/>
      <c r="BN517" s="191"/>
      <c r="BO517" s="191"/>
      <c r="BP517" s="191"/>
    </row>
    <row r="518" spans="2:68" s="108" customFormat="1" x14ac:dyDescent="0.25">
      <c r="B518" s="107"/>
      <c r="E518" s="109" t="s">
        <v>5</v>
      </c>
      <c r="F518" s="110" t="s">
        <v>67</v>
      </c>
      <c r="G518" s="111" t="s">
        <v>54</v>
      </c>
      <c r="H518" s="112">
        <v>327180</v>
      </c>
      <c r="I518" s="112">
        <v>289256</v>
      </c>
      <c r="J518" s="112">
        <v>291932</v>
      </c>
      <c r="K518" s="112">
        <v>297705</v>
      </c>
      <c r="L518" s="112">
        <v>279462</v>
      </c>
      <c r="M518" s="112">
        <v>279508</v>
      </c>
      <c r="N518" s="112">
        <v>243576</v>
      </c>
      <c r="O518" s="112">
        <v>228657</v>
      </c>
      <c r="P518" s="112">
        <v>205534</v>
      </c>
      <c r="R518" s="111" t="s">
        <v>54</v>
      </c>
      <c r="S518" s="220">
        <v>3.2</v>
      </c>
      <c r="T518" s="220">
        <v>4</v>
      </c>
      <c r="U518" s="220">
        <v>3.5</v>
      </c>
      <c r="V518" s="220">
        <v>4.2</v>
      </c>
      <c r="W518" s="220">
        <v>4.8</v>
      </c>
      <c r="X518" s="220">
        <v>5.4</v>
      </c>
      <c r="Y518" s="220">
        <v>6</v>
      </c>
      <c r="Z518" s="220">
        <v>5.8</v>
      </c>
      <c r="AA518" s="220">
        <v>5.7</v>
      </c>
      <c r="AC518" s="111" t="s">
        <v>54</v>
      </c>
      <c r="AD518" s="112">
        <f t="shared" si="602"/>
        <v>20939.52</v>
      </c>
      <c r="AE518" s="112">
        <f t="shared" si="583"/>
        <v>23140.48</v>
      </c>
      <c r="AF518" s="112">
        <f t="shared" si="584"/>
        <v>20435.240000000002</v>
      </c>
      <c r="AG518" s="112">
        <f t="shared" si="585"/>
        <v>25007.22</v>
      </c>
      <c r="AH518" s="112">
        <f t="shared" si="586"/>
        <v>26828.351999999999</v>
      </c>
      <c r="AI518" s="112">
        <f t="shared" si="587"/>
        <v>30186.864000000005</v>
      </c>
      <c r="AJ518" s="112">
        <f t="shared" si="588"/>
        <v>29229.119999999999</v>
      </c>
      <c r="AK518" s="112">
        <f t="shared" si="599"/>
        <v>26524.211999999996</v>
      </c>
      <c r="AL518" s="112">
        <f t="shared" si="600"/>
        <v>23430.876</v>
      </c>
      <c r="AN518" s="111" t="s">
        <v>54</v>
      </c>
      <c r="AO518" s="113">
        <f t="shared" ref="AO518:AW518" si="637">H518/H517</f>
        <v>0.18854550609583215</v>
      </c>
      <c r="AP518" s="113">
        <f t="shared" si="637"/>
        <v>0.1616246954059308</v>
      </c>
      <c r="AQ518" s="113">
        <f t="shared" si="637"/>
        <v>0.15980144971486313</v>
      </c>
      <c r="AR518" s="113">
        <f t="shared" si="637"/>
        <v>0.15622408990631959</v>
      </c>
      <c r="AS518" s="113">
        <f t="shared" si="637"/>
        <v>0.14268937889257985</v>
      </c>
      <c r="AT518" s="113">
        <f t="shared" si="637"/>
        <v>0.14001449697161569</v>
      </c>
      <c r="AU518" s="113">
        <f t="shared" si="637"/>
        <v>0.12084156883290072</v>
      </c>
      <c r="AV518" s="113">
        <f t="shared" si="637"/>
        <v>0.11211100046627727</v>
      </c>
      <c r="AW518" s="113">
        <f t="shared" si="637"/>
        <v>9.8147679465935736E-2</v>
      </c>
      <c r="AY518" s="111" t="s">
        <v>54</v>
      </c>
      <c r="AZ518" s="179">
        <f t="shared" si="590"/>
        <v>1.2066912390133258E-2</v>
      </c>
      <c r="BA518" s="179">
        <f t="shared" si="591"/>
        <v>1.2929975632474465E-2</v>
      </c>
      <c r="BB518" s="179">
        <f t="shared" si="592"/>
        <v>1.1186101480040418E-2</v>
      </c>
      <c r="BC518" s="179">
        <f t="shared" si="593"/>
        <v>1.3122823552130847E-2</v>
      </c>
      <c r="BD518" s="179">
        <f t="shared" si="594"/>
        <v>1.3698180373687665E-2</v>
      </c>
      <c r="BE518" s="179">
        <f t="shared" si="595"/>
        <v>1.5121565672934496E-2</v>
      </c>
      <c r="BF518" s="179">
        <f t="shared" si="596"/>
        <v>1.4500988259948087E-2</v>
      </c>
      <c r="BG518" s="179">
        <f t="shared" si="597"/>
        <v>1.3004876054088163E-2</v>
      </c>
      <c r="BH518" s="179">
        <f t="shared" si="598"/>
        <v>1.1188835459116675E-2</v>
      </c>
    </row>
    <row r="519" spans="2:68" s="108" customFormat="1" x14ac:dyDescent="0.25">
      <c r="B519" s="107"/>
      <c r="E519" s="109" t="s">
        <v>5</v>
      </c>
      <c r="F519" s="110" t="s">
        <v>67</v>
      </c>
      <c r="G519" s="111" t="s">
        <v>55</v>
      </c>
      <c r="H519" s="70">
        <v>418397</v>
      </c>
      <c r="I519" s="70">
        <v>433722</v>
      </c>
      <c r="J519" s="70">
        <v>442165</v>
      </c>
      <c r="K519" s="70">
        <v>449203</v>
      </c>
      <c r="L519" s="70">
        <v>470083</v>
      </c>
      <c r="M519" s="70">
        <v>441791</v>
      </c>
      <c r="N519" s="70">
        <v>465921</v>
      </c>
      <c r="O519" s="112">
        <v>476333</v>
      </c>
      <c r="P519" s="112">
        <v>482853</v>
      </c>
      <c r="R519" s="111" t="s">
        <v>55</v>
      </c>
      <c r="S519" s="81">
        <v>2.7</v>
      </c>
      <c r="T519" s="81">
        <v>2.9</v>
      </c>
      <c r="U519" s="81">
        <v>3</v>
      </c>
      <c r="V519" s="81">
        <v>3</v>
      </c>
      <c r="W519" s="81">
        <v>3.5</v>
      </c>
      <c r="X519" s="81">
        <v>4.0999999999999996</v>
      </c>
      <c r="Y519" s="81">
        <v>4</v>
      </c>
      <c r="Z519" s="81">
        <v>3.7</v>
      </c>
      <c r="AA519" s="81">
        <v>3.6</v>
      </c>
      <c r="AC519" s="111" t="s">
        <v>55</v>
      </c>
      <c r="AD519" s="70">
        <f t="shared" si="602"/>
        <v>22593.438000000002</v>
      </c>
      <c r="AE519" s="70">
        <f t="shared" si="583"/>
        <v>25155.876</v>
      </c>
      <c r="AF519" s="70">
        <f t="shared" si="584"/>
        <v>26529.9</v>
      </c>
      <c r="AG519" s="70">
        <f t="shared" si="585"/>
        <v>26952.18</v>
      </c>
      <c r="AH519" s="70">
        <f t="shared" si="586"/>
        <v>32905.81</v>
      </c>
      <c r="AI519" s="70">
        <f t="shared" si="587"/>
        <v>36226.861999999994</v>
      </c>
      <c r="AJ519" s="70">
        <f t="shared" si="588"/>
        <v>37273.68</v>
      </c>
      <c r="AK519" s="70">
        <f t="shared" si="599"/>
        <v>35248.642</v>
      </c>
      <c r="AL519" s="70">
        <f t="shared" si="600"/>
        <v>34765.415999999997</v>
      </c>
      <c r="AN519" s="111" t="s">
        <v>55</v>
      </c>
      <c r="AO519" s="113">
        <f t="shared" ref="AO519:AW519" si="638">H519/H517</f>
        <v>0.24111154139610577</v>
      </c>
      <c r="AP519" s="113">
        <f t="shared" si="638"/>
        <v>0.24234652398170173</v>
      </c>
      <c r="AQ519" s="113">
        <f t="shared" si="638"/>
        <v>0.24203789928193023</v>
      </c>
      <c r="AR519" s="113">
        <f t="shared" si="638"/>
        <v>0.23572439111935803</v>
      </c>
      <c r="AS519" s="113">
        <f t="shared" si="638"/>
        <v>0.240017788815512</v>
      </c>
      <c r="AT519" s="113">
        <f t="shared" si="638"/>
        <v>0.22130724212397165</v>
      </c>
      <c r="AU519" s="113">
        <f t="shared" si="638"/>
        <v>0.23115013216488461</v>
      </c>
      <c r="AV519" s="113">
        <f t="shared" si="638"/>
        <v>0.23354705600573458</v>
      </c>
      <c r="AW519" s="113">
        <f t="shared" si="638"/>
        <v>0.23057451065597648</v>
      </c>
      <c r="AY519" s="111" t="s">
        <v>55</v>
      </c>
      <c r="AZ519" s="179">
        <f t="shared" si="590"/>
        <v>1.3020023235389713E-2</v>
      </c>
      <c r="BA519" s="179">
        <f t="shared" si="591"/>
        <v>1.4056098390938701E-2</v>
      </c>
      <c r="BB519" s="179">
        <f t="shared" si="592"/>
        <v>1.4522273956915814E-2</v>
      </c>
      <c r="BC519" s="179">
        <f t="shared" si="593"/>
        <v>1.4143463467161482E-2</v>
      </c>
      <c r="BD519" s="179">
        <f t="shared" si="594"/>
        <v>1.6801245217085842E-2</v>
      </c>
      <c r="BE519" s="179">
        <f t="shared" si="595"/>
        <v>1.8147193854165675E-2</v>
      </c>
      <c r="BF519" s="179">
        <f t="shared" si="596"/>
        <v>1.8492010573190769E-2</v>
      </c>
      <c r="BG519" s="179">
        <f t="shared" si="597"/>
        <v>1.728248214442436E-2</v>
      </c>
      <c r="BH519" s="179">
        <f t="shared" si="598"/>
        <v>1.6601364767230307E-2</v>
      </c>
    </row>
    <row r="520" spans="2:68" s="108" customFormat="1" x14ac:dyDescent="0.25">
      <c r="B520" s="107"/>
      <c r="E520" s="109" t="s">
        <v>5</v>
      </c>
      <c r="F520" s="110" t="s">
        <v>67</v>
      </c>
      <c r="G520" s="111" t="s">
        <v>130</v>
      </c>
      <c r="H520" s="70">
        <v>202295</v>
      </c>
      <c r="I520" s="70">
        <v>231791</v>
      </c>
      <c r="J520" s="70">
        <v>215994</v>
      </c>
      <c r="K520" s="70">
        <v>215598</v>
      </c>
      <c r="L520" s="70">
        <v>206487</v>
      </c>
      <c r="M520" s="70">
        <v>248153</v>
      </c>
      <c r="N520" s="70">
        <v>229436</v>
      </c>
      <c r="O520" s="112">
        <v>228092</v>
      </c>
      <c r="P520" s="112">
        <v>245792</v>
      </c>
      <c r="R520" s="111" t="s">
        <v>130</v>
      </c>
      <c r="S520" s="220">
        <v>3.9</v>
      </c>
      <c r="T520" s="220">
        <v>4.4000000000000004</v>
      </c>
      <c r="U520" s="220">
        <v>4.4000000000000004</v>
      </c>
      <c r="V520" s="220">
        <v>4.5999999999999996</v>
      </c>
      <c r="W520" s="220">
        <v>5.4</v>
      </c>
      <c r="X520" s="220">
        <v>6</v>
      </c>
      <c r="Y520" s="220">
        <v>6.2</v>
      </c>
      <c r="Z520" s="220">
        <v>5.8</v>
      </c>
      <c r="AA520" s="220">
        <v>5.7</v>
      </c>
      <c r="AC520" s="111" t="s">
        <v>130</v>
      </c>
      <c r="AD520" s="70">
        <f t="shared" si="602"/>
        <v>15779.01</v>
      </c>
      <c r="AE520" s="70">
        <f t="shared" si="583"/>
        <v>20397.608000000004</v>
      </c>
      <c r="AF520" s="70">
        <f t="shared" si="584"/>
        <v>19007.472000000002</v>
      </c>
      <c r="AG520" s="70">
        <f t="shared" si="585"/>
        <v>19835.016</v>
      </c>
      <c r="AH520" s="70">
        <f t="shared" si="586"/>
        <v>22300.596000000001</v>
      </c>
      <c r="AI520" s="70">
        <f t="shared" si="587"/>
        <v>29778.36</v>
      </c>
      <c r="AJ520" s="70">
        <f t="shared" si="588"/>
        <v>28450.063999999998</v>
      </c>
      <c r="AK520" s="70">
        <f t="shared" si="599"/>
        <v>26458.671999999999</v>
      </c>
      <c r="AL520" s="70">
        <f t="shared" si="600"/>
        <v>28020.288000000004</v>
      </c>
      <c r="AN520" s="111" t="s">
        <v>130</v>
      </c>
      <c r="AO520" s="113">
        <f t="shared" ref="AO520:AW520" si="639">H520/H517</f>
        <v>0.11657745936688173</v>
      </c>
      <c r="AP520" s="113">
        <f t="shared" si="639"/>
        <v>0.12951554945389587</v>
      </c>
      <c r="AQ520" s="113">
        <f t="shared" si="639"/>
        <v>0.11823354181697159</v>
      </c>
      <c r="AR520" s="113">
        <f t="shared" si="639"/>
        <v>0.1131375063758509</v>
      </c>
      <c r="AS520" s="113">
        <f t="shared" si="639"/>
        <v>0.10542936706740859</v>
      </c>
      <c r="AT520" s="113">
        <f t="shared" si="639"/>
        <v>0.12430777461467059</v>
      </c>
      <c r="AU520" s="113">
        <f t="shared" si="639"/>
        <v>0.11382651076766763</v>
      </c>
      <c r="AV520" s="113">
        <f t="shared" si="639"/>
        <v>0.1118339797966129</v>
      </c>
      <c r="AW520" s="113">
        <f t="shared" si="639"/>
        <v>0.11737189190737919</v>
      </c>
      <c r="AY520" s="111" t="s">
        <v>130</v>
      </c>
      <c r="AZ520" s="179">
        <f t="shared" si="590"/>
        <v>9.0930418306167746E-3</v>
      </c>
      <c r="BA520" s="179">
        <f t="shared" si="591"/>
        <v>1.1397368351942837E-2</v>
      </c>
      <c r="BB520" s="179">
        <f t="shared" si="592"/>
        <v>1.0404551679893501E-2</v>
      </c>
      <c r="BC520" s="179">
        <f t="shared" si="593"/>
        <v>1.0408650586578283E-2</v>
      </c>
      <c r="BD520" s="179">
        <f t="shared" si="594"/>
        <v>1.1386371643280128E-2</v>
      </c>
      <c r="BE520" s="179">
        <f t="shared" si="595"/>
        <v>1.4916932953760471E-2</v>
      </c>
      <c r="BF520" s="179">
        <f t="shared" si="596"/>
        <v>1.4114487335190787E-2</v>
      </c>
      <c r="BG520" s="179">
        <f t="shared" si="597"/>
        <v>1.2972741656407097E-2</v>
      </c>
      <c r="BH520" s="179">
        <f t="shared" si="598"/>
        <v>1.3380395677441228E-2</v>
      </c>
    </row>
    <row r="521" spans="2:68" s="108" customFormat="1" x14ac:dyDescent="0.25">
      <c r="B521" s="107"/>
      <c r="E521" s="109" t="s">
        <v>5</v>
      </c>
      <c r="F521" s="110" t="s">
        <v>67</v>
      </c>
      <c r="G521" s="111" t="s">
        <v>131</v>
      </c>
      <c r="H521" s="112">
        <v>780700</v>
      </c>
      <c r="I521" s="112">
        <v>825956</v>
      </c>
      <c r="J521" s="112">
        <v>868591</v>
      </c>
      <c r="K521" s="112">
        <v>934826</v>
      </c>
      <c r="L521" s="112">
        <v>999793</v>
      </c>
      <c r="M521" s="112">
        <v>1022255</v>
      </c>
      <c r="N521" s="112">
        <v>1070204</v>
      </c>
      <c r="O521" s="112">
        <v>1106477</v>
      </c>
      <c r="P521" s="112">
        <v>1159951</v>
      </c>
      <c r="R521" s="111" t="s">
        <v>131</v>
      </c>
      <c r="S521" s="220">
        <v>1.8</v>
      </c>
      <c r="T521" s="220">
        <v>1.9</v>
      </c>
      <c r="U521" s="220">
        <v>1.9</v>
      </c>
      <c r="V521" s="220">
        <v>1.7</v>
      </c>
      <c r="W521" s="220">
        <v>2.1</v>
      </c>
      <c r="X521" s="220" t="s">
        <v>164</v>
      </c>
      <c r="Y521" s="220">
        <v>1.9</v>
      </c>
      <c r="Z521" s="220">
        <v>1.7</v>
      </c>
      <c r="AA521" s="220">
        <v>1.7</v>
      </c>
      <c r="AC521" s="111" t="s">
        <v>131</v>
      </c>
      <c r="AD521" s="112">
        <f t="shared" si="602"/>
        <v>28105.200000000001</v>
      </c>
      <c r="AE521" s="112">
        <f t="shared" si="583"/>
        <v>31386.327999999998</v>
      </c>
      <c r="AF521" s="112">
        <f t="shared" si="584"/>
        <v>33006.457999999999</v>
      </c>
      <c r="AG521" s="112">
        <f t="shared" si="585"/>
        <v>31784.083999999999</v>
      </c>
      <c r="AH521" s="112">
        <f t="shared" si="586"/>
        <v>41991.306000000004</v>
      </c>
      <c r="AI521" s="112" t="e">
        <f t="shared" si="587"/>
        <v>#VALUE!</v>
      </c>
      <c r="AJ521" s="112">
        <f t="shared" si="588"/>
        <v>40667.752</v>
      </c>
      <c r="AK521" s="112">
        <f t="shared" si="599"/>
        <v>37620.218000000001</v>
      </c>
      <c r="AL521" s="112">
        <f t="shared" si="600"/>
        <v>39438.334000000003</v>
      </c>
      <c r="AN521" s="111" t="s">
        <v>131</v>
      </c>
      <c r="AO521" s="113">
        <f t="shared" ref="AO521:AW521" si="640">H521/H517</f>
        <v>0.44989753838564756</v>
      </c>
      <c r="AP521" s="113">
        <f t="shared" si="640"/>
        <v>0.46151121124091105</v>
      </c>
      <c r="AQ521" s="113">
        <f t="shared" si="640"/>
        <v>0.47546038464191209</v>
      </c>
      <c r="AR521" s="113">
        <f t="shared" si="640"/>
        <v>0.49056059209877267</v>
      </c>
      <c r="AS521" s="113">
        <f t="shared" si="640"/>
        <v>0.51048028780710475</v>
      </c>
      <c r="AT521" s="113">
        <f t="shared" si="640"/>
        <v>0.51208022525909458</v>
      </c>
      <c r="AU521" s="113">
        <f t="shared" si="640"/>
        <v>0.53094364933838178</v>
      </c>
      <c r="AV521" s="113">
        <f t="shared" si="640"/>
        <v>0.54250796373137522</v>
      </c>
      <c r="AW521" s="113">
        <f t="shared" si="640"/>
        <v>0.55390591797070865</v>
      </c>
      <c r="AY521" s="111" t="s">
        <v>131</v>
      </c>
      <c r="AZ521" s="179">
        <f t="shared" si="590"/>
        <v>1.6196311381883311E-2</v>
      </c>
      <c r="BA521" s="179">
        <f t="shared" si="591"/>
        <v>1.7537426027154621E-2</v>
      </c>
      <c r="BB521" s="179">
        <f t="shared" si="592"/>
        <v>1.8067494616392659E-2</v>
      </c>
      <c r="BC521" s="179">
        <f t="shared" si="593"/>
        <v>1.6679060131358271E-2</v>
      </c>
      <c r="BD521" s="179">
        <f t="shared" si="594"/>
        <v>2.1440172087898401E-2</v>
      </c>
      <c r="BE521" s="179" t="e">
        <f t="shared" si="595"/>
        <v>#VALUE!</v>
      </c>
      <c r="BF521" s="179">
        <f t="shared" si="596"/>
        <v>2.0175858674858507E-2</v>
      </c>
      <c r="BG521" s="179">
        <f t="shared" si="597"/>
        <v>1.8445270766866757E-2</v>
      </c>
      <c r="BH521" s="179">
        <f t="shared" si="598"/>
        <v>1.8832801211004092E-2</v>
      </c>
    </row>
    <row r="522" spans="2:68" x14ac:dyDescent="0.3">
      <c r="H522" s="122" t="s">
        <v>122</v>
      </c>
      <c r="I522" s="121">
        <v>2003</v>
      </c>
      <c r="J522" s="121">
        <v>2005</v>
      </c>
      <c r="K522" s="122" t="s">
        <v>123</v>
      </c>
      <c r="L522" s="122" t="s">
        <v>124</v>
      </c>
      <c r="M522" s="122" t="s">
        <v>125</v>
      </c>
      <c r="N522" s="122" t="s">
        <v>126</v>
      </c>
      <c r="O522" s="122" t="s">
        <v>127</v>
      </c>
      <c r="P522" s="122" t="s">
        <v>128</v>
      </c>
      <c r="R522" s="111"/>
      <c r="S522" s="120" t="s">
        <v>122</v>
      </c>
      <c r="T522" s="121">
        <v>2003</v>
      </c>
      <c r="U522" s="121">
        <v>2005</v>
      </c>
      <c r="V522" s="122" t="s">
        <v>123</v>
      </c>
      <c r="W522" s="122" t="s">
        <v>124</v>
      </c>
      <c r="X522" s="122" t="s">
        <v>125</v>
      </c>
      <c r="Y522" s="122" t="s">
        <v>126</v>
      </c>
      <c r="Z522" s="122" t="s">
        <v>127</v>
      </c>
      <c r="AA522" s="122" t="s">
        <v>128</v>
      </c>
      <c r="AC522" s="197" t="s">
        <v>8</v>
      </c>
      <c r="AD522" s="120" t="s">
        <v>122</v>
      </c>
      <c r="AE522" s="121">
        <v>2003</v>
      </c>
      <c r="AF522" s="121">
        <v>2005</v>
      </c>
      <c r="AG522" s="122" t="s">
        <v>123</v>
      </c>
      <c r="AH522" s="122" t="s">
        <v>124</v>
      </c>
      <c r="AI522" s="122" t="s">
        <v>125</v>
      </c>
      <c r="AJ522" s="122" t="s">
        <v>126</v>
      </c>
      <c r="AK522" s="122" t="s">
        <v>127</v>
      </c>
      <c r="AL522" s="122" t="s">
        <v>128</v>
      </c>
      <c r="AN522" s="197" t="s">
        <v>8</v>
      </c>
      <c r="AO522" s="120" t="s">
        <v>122</v>
      </c>
      <c r="AP522" s="121">
        <v>2003</v>
      </c>
      <c r="AQ522" s="121">
        <v>2005</v>
      </c>
      <c r="AR522" s="122" t="s">
        <v>123</v>
      </c>
      <c r="AS522" s="122" t="s">
        <v>124</v>
      </c>
      <c r="AT522" s="122" t="s">
        <v>125</v>
      </c>
      <c r="AU522" s="122" t="s">
        <v>126</v>
      </c>
      <c r="AV522" s="122" t="s">
        <v>127</v>
      </c>
      <c r="AW522" s="122" t="s">
        <v>128</v>
      </c>
      <c r="AY522" s="197" t="s">
        <v>8</v>
      </c>
      <c r="AZ522" s="120" t="s">
        <v>122</v>
      </c>
      <c r="BA522" s="121">
        <v>2003</v>
      </c>
      <c r="BB522" s="121">
        <v>2005</v>
      </c>
      <c r="BC522" s="122" t="s">
        <v>123</v>
      </c>
      <c r="BD522" s="122" t="s">
        <v>124</v>
      </c>
      <c r="BE522" s="122" t="s">
        <v>125</v>
      </c>
      <c r="BF522" s="122" t="s">
        <v>126</v>
      </c>
      <c r="BG522" s="122" t="s">
        <v>127</v>
      </c>
      <c r="BH522" s="122" t="s">
        <v>128</v>
      </c>
    </row>
    <row r="523" spans="2:68" x14ac:dyDescent="0.25">
      <c r="C523" s="85"/>
      <c r="D523" s="85"/>
      <c r="E523" s="207" t="s">
        <v>0</v>
      </c>
      <c r="F523" s="207" t="s">
        <v>132</v>
      </c>
      <c r="G523" s="195" t="s">
        <v>7</v>
      </c>
      <c r="H523" s="274">
        <v>3222816</v>
      </c>
      <c r="I523" s="274">
        <v>3295558</v>
      </c>
      <c r="J523" s="274">
        <v>3338259</v>
      </c>
      <c r="K523" s="274">
        <v>3364897</v>
      </c>
      <c r="L523" s="274">
        <v>3343475</v>
      </c>
      <c r="M523" s="274">
        <v>3236864</v>
      </c>
      <c r="N523" s="274">
        <v>3165884</v>
      </c>
      <c r="O523" s="69">
        <v>3133882</v>
      </c>
      <c r="P523" s="69">
        <v>3112693</v>
      </c>
      <c r="R523" s="195" t="s">
        <v>7</v>
      </c>
      <c r="S523" s="226">
        <v>0.4</v>
      </c>
      <c r="T523" s="226">
        <v>0.5</v>
      </c>
      <c r="U523" s="226">
        <v>0.4</v>
      </c>
      <c r="V523" s="226">
        <v>0.4</v>
      </c>
      <c r="W523" s="226">
        <v>0.4</v>
      </c>
      <c r="X523" s="226">
        <v>0.6</v>
      </c>
      <c r="Y523" s="226">
        <v>0.5</v>
      </c>
      <c r="Z523" s="226">
        <v>0.5</v>
      </c>
      <c r="AA523" s="226">
        <v>0.5</v>
      </c>
      <c r="AC523" s="195" t="s">
        <v>7</v>
      </c>
      <c r="AD523" s="69">
        <f t="shared" ref="AD523:AJ527" si="641">2*(H523*S523/100)</f>
        <v>25782.528000000002</v>
      </c>
      <c r="AE523" s="69">
        <f t="shared" si="641"/>
        <v>32955.58</v>
      </c>
      <c r="AF523" s="69">
        <f t="shared" si="641"/>
        <v>26706.072</v>
      </c>
      <c r="AG523" s="69">
        <f t="shared" si="641"/>
        <v>26919.175999999999</v>
      </c>
      <c r="AH523" s="69">
        <f t="shared" si="641"/>
        <v>26747.8</v>
      </c>
      <c r="AI523" s="69">
        <f t="shared" si="641"/>
        <v>38842.367999999995</v>
      </c>
      <c r="AJ523" s="69">
        <f t="shared" si="641"/>
        <v>31658.84</v>
      </c>
      <c r="AK523" s="69">
        <f t="shared" ref="AK523:AK527" si="642">2*(P523*Z523/100)</f>
        <v>31126.93</v>
      </c>
      <c r="AL523" s="69">
        <f t="shared" si="600"/>
        <v>31126.93</v>
      </c>
      <c r="AN523" s="195" t="s">
        <v>7</v>
      </c>
      <c r="AO523" s="98">
        <f t="shared" ref="AO523:AW523" si="643">H523/H523</f>
        <v>1</v>
      </c>
      <c r="AP523" s="98">
        <f t="shared" si="643"/>
        <v>1</v>
      </c>
      <c r="AQ523" s="98">
        <f t="shared" si="643"/>
        <v>1</v>
      </c>
      <c r="AR523" s="98">
        <f t="shared" si="643"/>
        <v>1</v>
      </c>
      <c r="AS523" s="98">
        <f t="shared" si="643"/>
        <v>1</v>
      </c>
      <c r="AT523" s="98">
        <f t="shared" si="643"/>
        <v>1</v>
      </c>
      <c r="AU523" s="98">
        <f t="shared" si="643"/>
        <v>1</v>
      </c>
      <c r="AV523" s="98">
        <f t="shared" si="643"/>
        <v>1</v>
      </c>
      <c r="AW523" s="98">
        <f t="shared" si="643"/>
        <v>1</v>
      </c>
      <c r="AY523" s="195" t="s">
        <v>7</v>
      </c>
      <c r="AZ523" s="178">
        <f t="shared" ref="AZ523:AZ562" si="644">2*(S523*AO523/100)</f>
        <v>8.0000000000000002E-3</v>
      </c>
      <c r="BA523" s="178">
        <f t="shared" ref="BA523:BA562" si="645">2*(T523*AP523/100)</f>
        <v>0.01</v>
      </c>
      <c r="BB523" s="178">
        <f t="shared" ref="BB523:BB562" si="646">2*(U523*AQ523/100)</f>
        <v>8.0000000000000002E-3</v>
      </c>
      <c r="BC523" s="178">
        <f t="shared" ref="BC523:BC562" si="647">2*(V523*AR523/100)</f>
        <v>8.0000000000000002E-3</v>
      </c>
      <c r="BD523" s="178">
        <f t="shared" ref="BD523:BD562" si="648">2*(W523*AS523/100)</f>
        <v>8.0000000000000002E-3</v>
      </c>
      <c r="BE523" s="178">
        <f t="shared" ref="BE523:BE562" si="649">2*(X523*AT523/100)</f>
        <v>1.2E-2</v>
      </c>
      <c r="BF523" s="178">
        <f t="shared" ref="BF523:BF562" si="650">2*(Y523*AU523/100)</f>
        <v>0.01</v>
      </c>
      <c r="BG523" s="178">
        <f t="shared" ref="BG523:BG562" si="651">2*(Z523*AV523/100)</f>
        <v>0.01</v>
      </c>
      <c r="BH523" s="178">
        <f t="shared" ref="BH523:BH562" si="652">2*(AA523*AW523/100)</f>
        <v>0.01</v>
      </c>
    </row>
    <row r="524" spans="2:68" x14ac:dyDescent="0.25">
      <c r="C524" s="108"/>
      <c r="D524" s="108"/>
      <c r="E524" s="110" t="s">
        <v>0</v>
      </c>
      <c r="F524" s="110" t="s">
        <v>132</v>
      </c>
      <c r="G524" s="111" t="s">
        <v>54</v>
      </c>
      <c r="H524" s="112">
        <v>606114</v>
      </c>
      <c r="I524" s="112">
        <v>489015</v>
      </c>
      <c r="J524" s="112">
        <v>404941</v>
      </c>
      <c r="K524" s="112">
        <v>394146</v>
      </c>
      <c r="L524" s="112">
        <v>373356</v>
      </c>
      <c r="M524" s="112">
        <v>301951</v>
      </c>
      <c r="N524" s="112">
        <v>262762</v>
      </c>
      <c r="O524" s="112">
        <v>224069</v>
      </c>
      <c r="P524" s="112">
        <v>201459</v>
      </c>
      <c r="R524" s="111" t="s">
        <v>54</v>
      </c>
      <c r="S524" s="220">
        <v>2.5</v>
      </c>
      <c r="T524" s="220">
        <v>3.1</v>
      </c>
      <c r="U524" s="220">
        <v>3.1</v>
      </c>
      <c r="V524" s="220">
        <v>3.6</v>
      </c>
      <c r="W524" s="220">
        <v>3.8</v>
      </c>
      <c r="X524" s="220">
        <v>3.6</v>
      </c>
      <c r="Y524" s="220">
        <v>4.7</v>
      </c>
      <c r="Z524" s="220">
        <v>6.2</v>
      </c>
      <c r="AA524" s="220">
        <v>6.3</v>
      </c>
      <c r="AC524" s="111" t="s">
        <v>54</v>
      </c>
      <c r="AD524" s="112">
        <f t="shared" si="641"/>
        <v>30305.7</v>
      </c>
      <c r="AE524" s="112">
        <f t="shared" si="641"/>
        <v>30318.93</v>
      </c>
      <c r="AF524" s="112">
        <f t="shared" si="641"/>
        <v>25106.342000000001</v>
      </c>
      <c r="AG524" s="112">
        <f t="shared" si="641"/>
        <v>28378.512000000002</v>
      </c>
      <c r="AH524" s="112">
        <f t="shared" si="641"/>
        <v>28375.056</v>
      </c>
      <c r="AI524" s="112">
        <f t="shared" si="641"/>
        <v>21740.472000000002</v>
      </c>
      <c r="AJ524" s="112">
        <f t="shared" si="641"/>
        <v>24699.628000000004</v>
      </c>
      <c r="AK524" s="112">
        <f t="shared" si="642"/>
        <v>24980.916000000001</v>
      </c>
      <c r="AL524" s="112">
        <f t="shared" si="600"/>
        <v>25383.833999999999</v>
      </c>
      <c r="AN524" s="111" t="s">
        <v>54</v>
      </c>
      <c r="AO524" s="113">
        <f t="shared" ref="AO524:AW524" si="653">H524/H523</f>
        <v>0.18806968812367816</v>
      </c>
      <c r="AP524" s="113">
        <f t="shared" si="653"/>
        <v>0.14838610032049201</v>
      </c>
      <c r="AQ524" s="113">
        <f t="shared" si="653"/>
        <v>0.1213030504823023</v>
      </c>
      <c r="AR524" s="113">
        <f t="shared" si="653"/>
        <v>0.11713464037680797</v>
      </c>
      <c r="AS524" s="113">
        <f t="shared" si="653"/>
        <v>0.11166705299127405</v>
      </c>
      <c r="AT524" s="113">
        <f t="shared" si="653"/>
        <v>9.3285043795476114E-2</v>
      </c>
      <c r="AU524" s="113">
        <f t="shared" si="653"/>
        <v>8.2997987292017017E-2</v>
      </c>
      <c r="AV524" s="113">
        <f t="shared" si="653"/>
        <v>7.1498863071423877E-2</v>
      </c>
      <c r="AW524" s="113">
        <f t="shared" si="653"/>
        <v>6.4721769862945047E-2</v>
      </c>
      <c r="AY524" s="111" t="s">
        <v>54</v>
      </c>
      <c r="AZ524" s="179">
        <f t="shared" si="644"/>
        <v>9.4034844061839078E-3</v>
      </c>
      <c r="BA524" s="179">
        <f t="shared" si="645"/>
        <v>9.199938219870505E-3</v>
      </c>
      <c r="BB524" s="179">
        <f t="shared" si="646"/>
        <v>7.520789129902743E-3</v>
      </c>
      <c r="BC524" s="179">
        <f t="shared" si="647"/>
        <v>8.4336941071301748E-3</v>
      </c>
      <c r="BD524" s="179">
        <f t="shared" si="648"/>
        <v>8.4866960273368274E-3</v>
      </c>
      <c r="BE524" s="179">
        <f t="shared" si="649"/>
        <v>6.7165231532742807E-3</v>
      </c>
      <c r="BF524" s="179">
        <f t="shared" si="650"/>
        <v>7.8018108054495995E-3</v>
      </c>
      <c r="BG524" s="179">
        <f t="shared" si="651"/>
        <v>8.8658590208565615E-3</v>
      </c>
      <c r="BH524" s="179">
        <f t="shared" si="652"/>
        <v>8.1549430027310753E-3</v>
      </c>
    </row>
    <row r="525" spans="2:68" x14ac:dyDescent="0.25">
      <c r="C525" s="108"/>
      <c r="D525" s="108"/>
      <c r="E525" s="110" t="s">
        <v>0</v>
      </c>
      <c r="F525" s="110" t="s">
        <v>132</v>
      </c>
      <c r="G525" s="111" t="s">
        <v>55</v>
      </c>
      <c r="H525" s="70">
        <v>104161</v>
      </c>
      <c r="I525" s="70">
        <v>86039</v>
      </c>
      <c r="J525" s="70">
        <v>77372</v>
      </c>
      <c r="K525" s="70">
        <v>74461</v>
      </c>
      <c r="L525" s="70">
        <v>59611</v>
      </c>
      <c r="M525" s="70">
        <v>51546</v>
      </c>
      <c r="N525" s="70">
        <v>44538</v>
      </c>
      <c r="O525" s="112">
        <v>27361</v>
      </c>
      <c r="P525" s="112">
        <v>16474</v>
      </c>
      <c r="R525" s="111" t="s">
        <v>55</v>
      </c>
      <c r="S525" s="81">
        <v>6.1</v>
      </c>
      <c r="T525" s="81">
        <v>7.1</v>
      </c>
      <c r="U525" s="81">
        <v>7.8</v>
      </c>
      <c r="V525" s="81">
        <v>8.1999999999999993</v>
      </c>
      <c r="W525" s="81">
        <v>10.199999999999999</v>
      </c>
      <c r="X525" s="81">
        <v>11</v>
      </c>
      <c r="Y525" s="81">
        <v>12.1</v>
      </c>
      <c r="Z525" s="81">
        <v>17.899999999999999</v>
      </c>
      <c r="AA525" s="81">
        <v>22.4</v>
      </c>
      <c r="AC525" s="111" t="s">
        <v>55</v>
      </c>
      <c r="AD525" s="70">
        <f t="shared" si="641"/>
        <v>12707.642</v>
      </c>
      <c r="AE525" s="70">
        <f t="shared" si="641"/>
        <v>12217.538</v>
      </c>
      <c r="AF525" s="70">
        <f t="shared" si="641"/>
        <v>12070.031999999999</v>
      </c>
      <c r="AG525" s="70">
        <f t="shared" si="641"/>
        <v>12211.603999999999</v>
      </c>
      <c r="AH525" s="70">
        <f t="shared" si="641"/>
        <v>12160.643999999998</v>
      </c>
      <c r="AI525" s="70">
        <f t="shared" si="641"/>
        <v>11340.12</v>
      </c>
      <c r="AJ525" s="70">
        <f t="shared" si="641"/>
        <v>10778.195999999998</v>
      </c>
      <c r="AK525" s="70">
        <f t="shared" si="642"/>
        <v>5897.6919999999991</v>
      </c>
      <c r="AL525" s="70">
        <f t="shared" si="600"/>
        <v>7380.3519999999999</v>
      </c>
      <c r="AN525" s="111" t="s">
        <v>55</v>
      </c>
      <c r="AO525" s="113">
        <f t="shared" ref="AO525:AW525" si="654">H525/H523</f>
        <v>3.2319871813966422E-2</v>
      </c>
      <c r="AP525" s="113">
        <f t="shared" si="654"/>
        <v>2.6107566609357202E-2</v>
      </c>
      <c r="AQ525" s="113">
        <f t="shared" si="654"/>
        <v>2.317735082868046E-2</v>
      </c>
      <c r="AR525" s="113">
        <f t="shared" si="654"/>
        <v>2.2128760553443389E-2</v>
      </c>
      <c r="AS525" s="113">
        <f t="shared" si="654"/>
        <v>1.782905509985868E-2</v>
      </c>
      <c r="AT525" s="113">
        <f t="shared" si="654"/>
        <v>1.5924672769693136E-2</v>
      </c>
      <c r="AU525" s="113">
        <f t="shared" si="654"/>
        <v>1.4068108623057572E-2</v>
      </c>
      <c r="AV525" s="113">
        <f t="shared" si="654"/>
        <v>8.7307052403377029E-3</v>
      </c>
      <c r="AW525" s="113">
        <f t="shared" si="654"/>
        <v>5.2925232266722091E-3</v>
      </c>
      <c r="AY525" s="111" t="s">
        <v>55</v>
      </c>
      <c r="AZ525" s="179">
        <f t="shared" si="644"/>
        <v>3.9430243613039033E-3</v>
      </c>
      <c r="BA525" s="179">
        <f t="shared" si="645"/>
        <v>3.7072744585287228E-3</v>
      </c>
      <c r="BB525" s="179">
        <f t="shared" si="646"/>
        <v>3.6156667292741519E-3</v>
      </c>
      <c r="BC525" s="179">
        <f t="shared" si="647"/>
        <v>3.6291167307647156E-3</v>
      </c>
      <c r="BD525" s="179">
        <f t="shared" si="648"/>
        <v>3.6371272403711709E-3</v>
      </c>
      <c r="BE525" s="179">
        <f t="shared" si="649"/>
        <v>3.5034280093324899E-3</v>
      </c>
      <c r="BF525" s="179">
        <f t="shared" si="650"/>
        <v>3.4044822867799322E-3</v>
      </c>
      <c r="BG525" s="179">
        <f t="shared" si="651"/>
        <v>3.1255924760408976E-3</v>
      </c>
      <c r="BH525" s="179">
        <f t="shared" si="652"/>
        <v>2.3710504055491498E-3</v>
      </c>
    </row>
    <row r="526" spans="2:68" x14ac:dyDescent="0.25">
      <c r="C526" s="108"/>
      <c r="D526" s="108"/>
      <c r="E526" s="110" t="s">
        <v>0</v>
      </c>
      <c r="F526" s="110" t="s">
        <v>132</v>
      </c>
      <c r="G526" s="111" t="s">
        <v>130</v>
      </c>
      <c r="H526" s="70">
        <v>371584</v>
      </c>
      <c r="I526" s="70">
        <v>381836</v>
      </c>
      <c r="J526" s="70">
        <v>318487</v>
      </c>
      <c r="K526" s="70">
        <v>272925</v>
      </c>
      <c r="L526" s="70">
        <v>259031</v>
      </c>
      <c r="M526" s="70">
        <v>219342</v>
      </c>
      <c r="N526" s="70">
        <v>215084</v>
      </c>
      <c r="O526" s="112">
        <v>165005</v>
      </c>
      <c r="P526" s="112">
        <v>157129</v>
      </c>
      <c r="R526" s="111" t="s">
        <v>130</v>
      </c>
      <c r="S526" s="220">
        <v>3.4</v>
      </c>
      <c r="T526" s="220">
        <v>3.3</v>
      </c>
      <c r="U526" s="220">
        <v>3.7</v>
      </c>
      <c r="V526" s="220">
        <v>4.9000000000000004</v>
      </c>
      <c r="W526" s="220">
        <v>4.5999999999999996</v>
      </c>
      <c r="X526" s="220">
        <v>5.3</v>
      </c>
      <c r="Y526" s="220">
        <v>5</v>
      </c>
      <c r="Z526" s="220">
        <v>7.2</v>
      </c>
      <c r="AA526" s="220">
        <v>7.3</v>
      </c>
      <c r="AC526" s="111" t="s">
        <v>130</v>
      </c>
      <c r="AD526" s="70">
        <f t="shared" si="641"/>
        <v>25267.711999999996</v>
      </c>
      <c r="AE526" s="70">
        <f t="shared" si="641"/>
        <v>25201.175999999999</v>
      </c>
      <c r="AF526" s="70">
        <f t="shared" si="641"/>
        <v>23568.038000000004</v>
      </c>
      <c r="AG526" s="70">
        <f t="shared" si="641"/>
        <v>26746.65</v>
      </c>
      <c r="AH526" s="70">
        <f t="shared" si="641"/>
        <v>23830.851999999999</v>
      </c>
      <c r="AI526" s="70">
        <f t="shared" si="641"/>
        <v>23250.251999999997</v>
      </c>
      <c r="AJ526" s="70">
        <f t="shared" si="641"/>
        <v>21508.400000000001</v>
      </c>
      <c r="AK526" s="70">
        <f t="shared" si="642"/>
        <v>22626.576000000001</v>
      </c>
      <c r="AL526" s="70">
        <f t="shared" si="600"/>
        <v>22940.833999999999</v>
      </c>
      <c r="AN526" s="111" t="s">
        <v>130</v>
      </c>
      <c r="AO526" s="113">
        <f t="shared" ref="AO526:AW526" si="655">H526/H523</f>
        <v>0.11529792578912355</v>
      </c>
      <c r="AP526" s="113">
        <f t="shared" si="655"/>
        <v>0.11586383853659987</v>
      </c>
      <c r="AQ526" s="113">
        <f t="shared" si="655"/>
        <v>9.5405119854391165E-2</v>
      </c>
      <c r="AR526" s="113">
        <f t="shared" si="655"/>
        <v>8.1109466352164719E-2</v>
      </c>
      <c r="AS526" s="113">
        <f t="shared" si="655"/>
        <v>7.7473586612730766E-2</v>
      </c>
      <c r="AT526" s="113">
        <f t="shared" si="655"/>
        <v>6.7763736752609938E-2</v>
      </c>
      <c r="AU526" s="113">
        <f t="shared" si="655"/>
        <v>6.7938054584438343E-2</v>
      </c>
      <c r="AV526" s="113">
        <f t="shared" si="655"/>
        <v>5.2651950520153597E-2</v>
      </c>
      <c r="AW526" s="113">
        <f t="shared" si="655"/>
        <v>5.0480082680816898E-2</v>
      </c>
      <c r="AY526" s="111" t="s">
        <v>130</v>
      </c>
      <c r="AZ526" s="179">
        <f t="shared" si="644"/>
        <v>7.8402589536604016E-3</v>
      </c>
      <c r="BA526" s="179">
        <f t="shared" si="645"/>
        <v>7.6470133434155905E-3</v>
      </c>
      <c r="BB526" s="179">
        <f t="shared" si="646"/>
        <v>7.059978869224947E-3</v>
      </c>
      <c r="BC526" s="179">
        <f t="shared" si="647"/>
        <v>7.9487277025121431E-3</v>
      </c>
      <c r="BD526" s="179">
        <f t="shared" si="648"/>
        <v>7.1275699683712298E-3</v>
      </c>
      <c r="BE526" s="179">
        <f t="shared" si="649"/>
        <v>7.1829560957766539E-3</v>
      </c>
      <c r="BF526" s="179">
        <f t="shared" si="650"/>
        <v>6.793805458443835E-3</v>
      </c>
      <c r="BG526" s="179">
        <f t="shared" si="651"/>
        <v>7.5818808749021187E-3</v>
      </c>
      <c r="BH526" s="179">
        <f t="shared" si="652"/>
        <v>7.3700920713992667E-3</v>
      </c>
    </row>
    <row r="527" spans="2:68" x14ac:dyDescent="0.25">
      <c r="C527" s="108"/>
      <c r="D527" s="108"/>
      <c r="E527" s="110" t="s">
        <v>0</v>
      </c>
      <c r="F527" s="110" t="s">
        <v>132</v>
      </c>
      <c r="G527" s="111" t="s">
        <v>131</v>
      </c>
      <c r="H527" s="112">
        <v>2141275</v>
      </c>
      <c r="I527" s="112">
        <v>2338536</v>
      </c>
      <c r="J527" s="112">
        <v>2537439</v>
      </c>
      <c r="K527" s="112">
        <v>2625486</v>
      </c>
      <c r="L527" s="112">
        <v>2651830</v>
      </c>
      <c r="M527" s="112">
        <v>2664186</v>
      </c>
      <c r="N527" s="112">
        <v>2644228</v>
      </c>
      <c r="O527" s="112">
        <v>2717447</v>
      </c>
      <c r="P527" s="112">
        <v>2737631</v>
      </c>
      <c r="R527" s="111" t="s">
        <v>131</v>
      </c>
      <c r="S527" s="220">
        <v>0.8</v>
      </c>
      <c r="T527" s="220">
        <v>0.8</v>
      </c>
      <c r="U527" s="220">
        <v>0.8</v>
      </c>
      <c r="V527" s="220">
        <v>0.9</v>
      </c>
      <c r="W527" s="220">
        <v>0.9</v>
      </c>
      <c r="X527" s="220">
        <v>1</v>
      </c>
      <c r="Y527" s="220">
        <v>0.9</v>
      </c>
      <c r="Z527" s="220">
        <v>0.7</v>
      </c>
      <c r="AA527" s="220">
        <v>0.5</v>
      </c>
      <c r="AC527" s="111" t="s">
        <v>131</v>
      </c>
      <c r="AD527" s="112">
        <f t="shared" si="641"/>
        <v>34260.400000000001</v>
      </c>
      <c r="AE527" s="112">
        <f t="shared" si="641"/>
        <v>37416.576000000001</v>
      </c>
      <c r="AF527" s="112">
        <f t="shared" si="641"/>
        <v>40599.024000000005</v>
      </c>
      <c r="AG527" s="112">
        <f t="shared" si="641"/>
        <v>47258.748</v>
      </c>
      <c r="AH527" s="112">
        <f t="shared" si="641"/>
        <v>47732.94</v>
      </c>
      <c r="AI527" s="112">
        <f t="shared" si="641"/>
        <v>53283.72</v>
      </c>
      <c r="AJ527" s="112">
        <f t="shared" si="641"/>
        <v>47596.104000000007</v>
      </c>
      <c r="AK527" s="112">
        <f t="shared" si="642"/>
        <v>38326.834000000003</v>
      </c>
      <c r="AL527" s="112">
        <f t="shared" si="600"/>
        <v>27376.31</v>
      </c>
      <c r="AN527" s="111" t="s">
        <v>131</v>
      </c>
      <c r="AO527" s="113">
        <f t="shared" ref="AO527:AW527" si="656">H527/H523</f>
        <v>0.66441118574563363</v>
      </c>
      <c r="AP527" s="113">
        <f t="shared" si="656"/>
        <v>0.70960244061855382</v>
      </c>
      <c r="AQ527" s="113">
        <f t="shared" si="656"/>
        <v>0.76010848768774386</v>
      </c>
      <c r="AR527" s="113">
        <f t="shared" si="656"/>
        <v>0.78025746404719076</v>
      </c>
      <c r="AS527" s="113">
        <f t="shared" si="656"/>
        <v>0.79313588407270874</v>
      </c>
      <c r="AT527" s="113">
        <f t="shared" si="656"/>
        <v>0.82307628618316986</v>
      </c>
      <c r="AU527" s="113">
        <f t="shared" si="656"/>
        <v>0.83522580107167543</v>
      </c>
      <c r="AV527" s="113">
        <f t="shared" si="656"/>
        <v>0.86711848116808488</v>
      </c>
      <c r="AW527" s="113">
        <f t="shared" si="656"/>
        <v>0.8795056242295658</v>
      </c>
      <c r="AY527" s="111" t="s">
        <v>131</v>
      </c>
      <c r="AZ527" s="179">
        <f t="shared" si="644"/>
        <v>1.0630578971930139E-2</v>
      </c>
      <c r="BA527" s="179">
        <f t="shared" si="645"/>
        <v>1.1353639049896861E-2</v>
      </c>
      <c r="BB527" s="179">
        <f t="shared" si="646"/>
        <v>1.2161735803003903E-2</v>
      </c>
      <c r="BC527" s="179">
        <f t="shared" si="647"/>
        <v>1.4044634352849434E-2</v>
      </c>
      <c r="BD527" s="179">
        <f t="shared" si="648"/>
        <v>1.4276445913308757E-2</v>
      </c>
      <c r="BE527" s="179">
        <f t="shared" si="649"/>
        <v>1.6461525723663398E-2</v>
      </c>
      <c r="BF527" s="179">
        <f t="shared" si="650"/>
        <v>1.5034064419290158E-2</v>
      </c>
      <c r="BG527" s="179">
        <f t="shared" si="651"/>
        <v>1.2139658736353188E-2</v>
      </c>
      <c r="BH527" s="179">
        <f t="shared" si="652"/>
        <v>8.7950562422956582E-3</v>
      </c>
    </row>
    <row r="528" spans="2:68" x14ac:dyDescent="0.25">
      <c r="C528" s="85"/>
      <c r="D528" s="85"/>
      <c r="E528" s="207" t="s">
        <v>1</v>
      </c>
      <c r="F528" s="207" t="s">
        <v>132</v>
      </c>
      <c r="G528" s="195" t="s">
        <v>7</v>
      </c>
      <c r="H528" s="274">
        <v>4129751</v>
      </c>
      <c r="I528" s="274">
        <v>4210618</v>
      </c>
      <c r="J528" s="274">
        <v>4324953</v>
      </c>
      <c r="K528" s="274">
        <v>4444298</v>
      </c>
      <c r="L528" s="274">
        <v>4571462</v>
      </c>
      <c r="M528" s="274">
        <v>4701334</v>
      </c>
      <c r="N528" s="274">
        <v>4775607</v>
      </c>
      <c r="O528" s="69">
        <v>4542313</v>
      </c>
      <c r="P528" s="69">
        <v>4659974</v>
      </c>
      <c r="R528" s="195" t="s">
        <v>7</v>
      </c>
      <c r="S528" s="226">
        <v>0.4</v>
      </c>
      <c r="T528" s="226">
        <v>0.5</v>
      </c>
      <c r="U528" s="226">
        <v>0.4</v>
      </c>
      <c r="V528" s="226">
        <v>0.4</v>
      </c>
      <c r="W528" s="226">
        <v>0.4</v>
      </c>
      <c r="X528" s="226">
        <v>0.6</v>
      </c>
      <c r="Y528" s="226">
        <v>0.5</v>
      </c>
      <c r="Z528" s="226">
        <v>0.4</v>
      </c>
      <c r="AA528" s="226">
        <v>0.5</v>
      </c>
      <c r="AC528" s="195" t="s">
        <v>7</v>
      </c>
      <c r="AD528" s="69">
        <f t="shared" ref="AD528:AJ548" si="657">2*(H528*S528/100)</f>
        <v>33038.008000000002</v>
      </c>
      <c r="AE528" s="69">
        <f t="shared" si="657"/>
        <v>42106.18</v>
      </c>
      <c r="AF528" s="69">
        <f t="shared" si="657"/>
        <v>34599.624000000003</v>
      </c>
      <c r="AG528" s="69">
        <f t="shared" si="657"/>
        <v>35554.384000000005</v>
      </c>
      <c r="AH528" s="69">
        <f t="shared" si="657"/>
        <v>36571.696000000004</v>
      </c>
      <c r="AI528" s="69">
        <f t="shared" si="657"/>
        <v>56416.008000000002</v>
      </c>
      <c r="AJ528" s="69">
        <f t="shared" si="657"/>
        <v>47756.07</v>
      </c>
      <c r="AK528" s="69">
        <f t="shared" ref="AK528:AK562" si="658">2*(O528*Z528/100)</f>
        <v>36338.504000000001</v>
      </c>
      <c r="AL528" s="69">
        <f t="shared" ref="AL528:AL562" si="659">2*(P528*AA528/100)</f>
        <v>46599.74</v>
      </c>
      <c r="AN528" s="195" t="s">
        <v>7</v>
      </c>
      <c r="AO528" s="98">
        <f t="shared" ref="AO528:AW528" si="660">H528/H528</f>
        <v>1</v>
      </c>
      <c r="AP528" s="98">
        <f t="shared" si="660"/>
        <v>1</v>
      </c>
      <c r="AQ528" s="98">
        <f t="shared" si="660"/>
        <v>1</v>
      </c>
      <c r="AR528" s="98">
        <f t="shared" si="660"/>
        <v>1</v>
      </c>
      <c r="AS528" s="98">
        <f t="shared" si="660"/>
        <v>1</v>
      </c>
      <c r="AT528" s="98">
        <f t="shared" si="660"/>
        <v>1</v>
      </c>
      <c r="AU528" s="98">
        <f t="shared" si="660"/>
        <v>1</v>
      </c>
      <c r="AV528" s="98">
        <f t="shared" si="660"/>
        <v>1</v>
      </c>
      <c r="AW528" s="98">
        <f t="shared" si="660"/>
        <v>1</v>
      </c>
      <c r="AY528" s="195" t="s">
        <v>7</v>
      </c>
      <c r="AZ528" s="178">
        <f t="shared" si="644"/>
        <v>8.0000000000000002E-3</v>
      </c>
      <c r="BA528" s="178">
        <f t="shared" si="645"/>
        <v>0.01</v>
      </c>
      <c r="BB528" s="178">
        <f t="shared" si="646"/>
        <v>8.0000000000000002E-3</v>
      </c>
      <c r="BC528" s="178">
        <f t="shared" si="647"/>
        <v>8.0000000000000002E-3</v>
      </c>
      <c r="BD528" s="178">
        <f t="shared" si="648"/>
        <v>8.0000000000000002E-3</v>
      </c>
      <c r="BE528" s="178">
        <f t="shared" si="649"/>
        <v>1.2E-2</v>
      </c>
      <c r="BF528" s="178">
        <f t="shared" si="650"/>
        <v>0.01</v>
      </c>
      <c r="BG528" s="178">
        <f t="shared" si="651"/>
        <v>8.0000000000000002E-3</v>
      </c>
      <c r="BH528" s="178">
        <f t="shared" si="652"/>
        <v>0.01</v>
      </c>
    </row>
    <row r="529" spans="3:60" x14ac:dyDescent="0.25">
      <c r="C529" s="108"/>
      <c r="D529" s="108"/>
      <c r="E529" s="110" t="s">
        <v>1</v>
      </c>
      <c r="F529" s="110" t="s">
        <v>132</v>
      </c>
      <c r="G529" s="111" t="s">
        <v>54</v>
      </c>
      <c r="H529" s="112">
        <v>1410084</v>
      </c>
      <c r="I529" s="112">
        <v>1347125</v>
      </c>
      <c r="J529" s="112">
        <v>1316738</v>
      </c>
      <c r="K529" s="112">
        <v>1354072</v>
      </c>
      <c r="L529" s="112">
        <v>1260866</v>
      </c>
      <c r="M529" s="112">
        <v>1287348</v>
      </c>
      <c r="N529" s="112">
        <v>1220442</v>
      </c>
      <c r="O529" s="112">
        <v>1001598</v>
      </c>
      <c r="P529" s="112">
        <v>946848</v>
      </c>
      <c r="R529" s="111" t="s">
        <v>54</v>
      </c>
      <c r="S529" s="220">
        <v>2</v>
      </c>
      <c r="T529" s="220">
        <v>2.2999999999999998</v>
      </c>
      <c r="U529" s="220">
        <v>1.6</v>
      </c>
      <c r="V529" s="220">
        <v>2.2000000000000002</v>
      </c>
      <c r="W529" s="220">
        <v>0.7</v>
      </c>
      <c r="X529" s="220">
        <v>2.6</v>
      </c>
      <c r="Y529" s="220">
        <v>2.1</v>
      </c>
      <c r="Z529" s="220">
        <v>2.5</v>
      </c>
      <c r="AA529" s="220">
        <v>2.9</v>
      </c>
      <c r="AC529" s="111" t="s">
        <v>54</v>
      </c>
      <c r="AD529" s="112">
        <f t="shared" si="657"/>
        <v>56403.360000000001</v>
      </c>
      <c r="AE529" s="112">
        <f t="shared" si="657"/>
        <v>61967.749999999993</v>
      </c>
      <c r="AF529" s="112">
        <f t="shared" si="657"/>
        <v>42135.616000000009</v>
      </c>
      <c r="AG529" s="112">
        <f t="shared" si="657"/>
        <v>59579.168000000005</v>
      </c>
      <c r="AH529" s="112">
        <f t="shared" si="657"/>
        <v>17652.124</v>
      </c>
      <c r="AI529" s="112">
        <f t="shared" si="657"/>
        <v>66942.096000000005</v>
      </c>
      <c r="AJ529" s="112">
        <f t="shared" si="657"/>
        <v>51258.564000000006</v>
      </c>
      <c r="AK529" s="112">
        <f t="shared" si="658"/>
        <v>50079.9</v>
      </c>
      <c r="AL529" s="112">
        <f t="shared" si="659"/>
        <v>54917.183999999994</v>
      </c>
      <c r="AN529" s="111" t="s">
        <v>54</v>
      </c>
      <c r="AO529" s="113">
        <f t="shared" ref="AO529:AW529" si="661">H529/H528</f>
        <v>0.34144528326284079</v>
      </c>
      <c r="AP529" s="113">
        <f t="shared" si="661"/>
        <v>0.3199352209105647</v>
      </c>
      <c r="AQ529" s="113">
        <f t="shared" si="661"/>
        <v>0.30445140097476203</v>
      </c>
      <c r="AR529" s="113">
        <f t="shared" si="661"/>
        <v>0.30467623908207775</v>
      </c>
      <c r="AS529" s="113">
        <f t="shared" si="661"/>
        <v>0.27581242062167421</v>
      </c>
      <c r="AT529" s="113">
        <f t="shared" si="661"/>
        <v>0.27382610978075583</v>
      </c>
      <c r="AU529" s="113">
        <f t="shared" si="661"/>
        <v>0.25555746107248772</v>
      </c>
      <c r="AV529" s="113">
        <f t="shared" si="661"/>
        <v>0.22050395910629672</v>
      </c>
      <c r="AW529" s="113">
        <f t="shared" si="661"/>
        <v>0.20318739975802441</v>
      </c>
      <c r="AY529" s="111" t="s">
        <v>54</v>
      </c>
      <c r="AZ529" s="179">
        <f t="shared" si="644"/>
        <v>1.3657811330513631E-2</v>
      </c>
      <c r="BA529" s="179">
        <f t="shared" si="645"/>
        <v>1.4717020161885974E-2</v>
      </c>
      <c r="BB529" s="179">
        <f t="shared" si="646"/>
        <v>9.7424448311923852E-3</v>
      </c>
      <c r="BC529" s="179">
        <f t="shared" si="647"/>
        <v>1.3405754519611422E-2</v>
      </c>
      <c r="BD529" s="179">
        <f t="shared" si="648"/>
        <v>3.8613738887034389E-3</v>
      </c>
      <c r="BE529" s="179">
        <f t="shared" si="649"/>
        <v>1.4238957708599304E-2</v>
      </c>
      <c r="BF529" s="179">
        <f t="shared" si="650"/>
        <v>1.0733413365044485E-2</v>
      </c>
      <c r="BG529" s="179">
        <f t="shared" si="651"/>
        <v>1.1025197955314836E-2</v>
      </c>
      <c r="BH529" s="179">
        <f t="shared" si="652"/>
        <v>1.1784869185965417E-2</v>
      </c>
    </row>
    <row r="530" spans="3:60" x14ac:dyDescent="0.25">
      <c r="C530" s="108"/>
      <c r="D530" s="108"/>
      <c r="E530" s="110" t="s">
        <v>1</v>
      </c>
      <c r="F530" s="110" t="s">
        <v>132</v>
      </c>
      <c r="G530" s="111" t="s">
        <v>55</v>
      </c>
      <c r="H530" s="70">
        <v>514044</v>
      </c>
      <c r="I530" s="70">
        <v>613056</v>
      </c>
      <c r="J530" s="70">
        <v>573449</v>
      </c>
      <c r="K530" s="70">
        <v>625666</v>
      </c>
      <c r="L530" s="70">
        <v>523024</v>
      </c>
      <c r="M530" s="70">
        <v>517386</v>
      </c>
      <c r="N530" s="70">
        <v>460349</v>
      </c>
      <c r="O530" s="112">
        <v>386699</v>
      </c>
      <c r="P530" s="112">
        <v>378731</v>
      </c>
      <c r="R530" s="111" t="s">
        <v>55</v>
      </c>
      <c r="S530" s="81">
        <v>3.1</v>
      </c>
      <c r="T530" s="81">
        <v>3.5</v>
      </c>
      <c r="U530" s="81">
        <v>3.1</v>
      </c>
      <c r="V530" s="81">
        <v>3.4</v>
      </c>
      <c r="W530" s="81">
        <v>3.6</v>
      </c>
      <c r="X530" s="81">
        <v>3.9</v>
      </c>
      <c r="Y530" s="81">
        <v>3.9</v>
      </c>
      <c r="Z530" s="81">
        <v>4.4000000000000004</v>
      </c>
      <c r="AA530" s="81">
        <v>4.7</v>
      </c>
      <c r="AC530" s="111" t="s">
        <v>55</v>
      </c>
      <c r="AD530" s="70">
        <f t="shared" si="657"/>
        <v>31870.728000000003</v>
      </c>
      <c r="AE530" s="70">
        <f t="shared" si="657"/>
        <v>42913.919999999998</v>
      </c>
      <c r="AF530" s="70">
        <f t="shared" si="657"/>
        <v>35553.838000000003</v>
      </c>
      <c r="AG530" s="70">
        <f t="shared" si="657"/>
        <v>42545.288</v>
      </c>
      <c r="AH530" s="70">
        <f t="shared" si="657"/>
        <v>37657.728000000003</v>
      </c>
      <c r="AI530" s="70">
        <f t="shared" si="657"/>
        <v>40356.108</v>
      </c>
      <c r="AJ530" s="70">
        <f t="shared" si="657"/>
        <v>35907.221999999994</v>
      </c>
      <c r="AK530" s="70">
        <f t="shared" si="658"/>
        <v>34029.512000000002</v>
      </c>
      <c r="AL530" s="70">
        <f t="shared" si="659"/>
        <v>35600.714</v>
      </c>
      <c r="AN530" s="111" t="s">
        <v>55</v>
      </c>
      <c r="AO530" s="113">
        <f t="shared" ref="AO530:AW530" si="662">H530/H528</f>
        <v>0.12447336413260751</v>
      </c>
      <c r="AP530" s="113">
        <f t="shared" si="662"/>
        <v>0.14559762961161521</v>
      </c>
      <c r="AQ530" s="113">
        <f t="shared" si="662"/>
        <v>0.13259080503302578</v>
      </c>
      <c r="AR530" s="113">
        <f t="shared" si="662"/>
        <v>0.14077948868415213</v>
      </c>
      <c r="AS530" s="113">
        <f t="shared" si="662"/>
        <v>0.11441066337202409</v>
      </c>
      <c r="AT530" s="113">
        <f t="shared" si="662"/>
        <v>0.11005089193833069</v>
      </c>
      <c r="AU530" s="113">
        <f t="shared" si="662"/>
        <v>9.6395913650348525E-2</v>
      </c>
      <c r="AV530" s="113">
        <f t="shared" si="662"/>
        <v>8.5132618557990175E-2</v>
      </c>
      <c r="AW530" s="113">
        <f t="shared" si="662"/>
        <v>8.1273200236739521E-2</v>
      </c>
      <c r="AY530" s="111" t="s">
        <v>55</v>
      </c>
      <c r="AZ530" s="179">
        <f t="shared" si="644"/>
        <v>7.7173485762216656E-3</v>
      </c>
      <c r="BA530" s="179">
        <f t="shared" si="645"/>
        <v>1.0191834072813065E-2</v>
      </c>
      <c r="BB530" s="179">
        <f t="shared" si="646"/>
        <v>8.220629912047599E-3</v>
      </c>
      <c r="BC530" s="179">
        <f t="shared" si="647"/>
        <v>9.573005230522345E-3</v>
      </c>
      <c r="BD530" s="179">
        <f t="shared" si="648"/>
        <v>8.2375677627857351E-3</v>
      </c>
      <c r="BE530" s="179">
        <f t="shared" si="649"/>
        <v>8.5839695711897937E-3</v>
      </c>
      <c r="BF530" s="179">
        <f t="shared" si="650"/>
        <v>7.5188812647271853E-3</v>
      </c>
      <c r="BG530" s="179">
        <f t="shared" si="651"/>
        <v>7.4916704331031356E-3</v>
      </c>
      <c r="BH530" s="179">
        <f t="shared" si="652"/>
        <v>7.6396808222535147E-3</v>
      </c>
    </row>
    <row r="531" spans="3:60" x14ac:dyDescent="0.25">
      <c r="C531" s="108"/>
      <c r="D531" s="108"/>
      <c r="E531" s="110" t="s">
        <v>1</v>
      </c>
      <c r="F531" s="110" t="s">
        <v>132</v>
      </c>
      <c r="G531" s="111" t="s">
        <v>130</v>
      </c>
      <c r="H531" s="70">
        <v>602825</v>
      </c>
      <c r="I531" s="70">
        <v>617068</v>
      </c>
      <c r="J531" s="70">
        <v>650746</v>
      </c>
      <c r="K531" s="70">
        <v>614603</v>
      </c>
      <c r="L531" s="70">
        <v>658951</v>
      </c>
      <c r="M531" s="70">
        <v>656909</v>
      </c>
      <c r="N531" s="70">
        <v>714389</v>
      </c>
      <c r="O531" s="112">
        <v>696054</v>
      </c>
      <c r="P531" s="112">
        <v>674989</v>
      </c>
      <c r="R531" s="111" t="s">
        <v>130</v>
      </c>
      <c r="S531" s="220">
        <v>3.1</v>
      </c>
      <c r="T531" s="220">
        <v>3.5</v>
      </c>
      <c r="U531" s="220">
        <v>3.1</v>
      </c>
      <c r="V531" s="220">
        <v>3.4</v>
      </c>
      <c r="W531" s="220">
        <v>2.2999999999999998</v>
      </c>
      <c r="X531" s="220">
        <v>3.9</v>
      </c>
      <c r="Y531" s="220">
        <v>4</v>
      </c>
      <c r="Z531" s="220">
        <v>3.7</v>
      </c>
      <c r="AA531" s="220">
        <v>3.8</v>
      </c>
      <c r="AC531" s="111" t="s">
        <v>130</v>
      </c>
      <c r="AD531" s="70">
        <f t="shared" si="657"/>
        <v>37375.15</v>
      </c>
      <c r="AE531" s="70">
        <f t="shared" si="657"/>
        <v>43194.76</v>
      </c>
      <c r="AF531" s="70">
        <f t="shared" si="657"/>
        <v>40346.252</v>
      </c>
      <c r="AG531" s="70">
        <f t="shared" si="657"/>
        <v>41793.004000000001</v>
      </c>
      <c r="AH531" s="70">
        <f t="shared" si="657"/>
        <v>30311.745999999996</v>
      </c>
      <c r="AI531" s="70">
        <f t="shared" si="657"/>
        <v>51238.902000000002</v>
      </c>
      <c r="AJ531" s="70">
        <f t="shared" si="657"/>
        <v>57151.12</v>
      </c>
      <c r="AK531" s="70">
        <f t="shared" si="658"/>
        <v>51507.996000000006</v>
      </c>
      <c r="AL531" s="70">
        <f t="shared" si="659"/>
        <v>51299.163999999997</v>
      </c>
      <c r="AN531" s="111" t="s">
        <v>130</v>
      </c>
      <c r="AO531" s="113">
        <f t="shared" ref="AO531:AW531" si="663">H531/H528</f>
        <v>0.14597127042284147</v>
      </c>
      <c r="AP531" s="113">
        <f t="shared" si="663"/>
        <v>0.14655045886375825</v>
      </c>
      <c r="AQ531" s="113">
        <f t="shared" si="663"/>
        <v>0.15046313798092142</v>
      </c>
      <c r="AR531" s="113">
        <f t="shared" si="663"/>
        <v>0.13829023166313331</v>
      </c>
      <c r="AS531" s="113">
        <f t="shared" si="663"/>
        <v>0.14414447719351053</v>
      </c>
      <c r="AT531" s="113">
        <f t="shared" si="663"/>
        <v>0.13972821331137078</v>
      </c>
      <c r="AU531" s="113">
        <f t="shared" si="663"/>
        <v>0.14959124567829807</v>
      </c>
      <c r="AV531" s="113">
        <f t="shared" si="663"/>
        <v>0.15323778876532726</v>
      </c>
      <c r="AW531" s="113">
        <f t="shared" si="663"/>
        <v>0.14484823305881106</v>
      </c>
      <c r="AY531" s="111" t="s">
        <v>130</v>
      </c>
      <c r="AZ531" s="179">
        <f t="shared" si="644"/>
        <v>9.0502187662161709E-3</v>
      </c>
      <c r="BA531" s="179">
        <f t="shared" si="645"/>
        <v>1.0258532120463078E-2</v>
      </c>
      <c r="BB531" s="179">
        <f t="shared" si="646"/>
        <v>9.3287145548171298E-3</v>
      </c>
      <c r="BC531" s="179">
        <f t="shared" si="647"/>
        <v>9.4037357530930652E-3</v>
      </c>
      <c r="BD531" s="179">
        <f t="shared" si="648"/>
        <v>6.6306459509014835E-3</v>
      </c>
      <c r="BE531" s="179">
        <f t="shared" si="649"/>
        <v>1.089880063828692E-2</v>
      </c>
      <c r="BF531" s="179">
        <f t="shared" si="650"/>
        <v>1.1967299654263845E-2</v>
      </c>
      <c r="BG531" s="179">
        <f t="shared" si="651"/>
        <v>1.1339596368634217E-2</v>
      </c>
      <c r="BH531" s="179">
        <f t="shared" si="652"/>
        <v>1.1008465712469639E-2</v>
      </c>
    </row>
    <row r="532" spans="3:60" x14ac:dyDescent="0.25">
      <c r="C532" s="108"/>
      <c r="D532" s="108"/>
      <c r="E532" s="110" t="s">
        <v>1</v>
      </c>
      <c r="F532" s="110" t="s">
        <v>132</v>
      </c>
      <c r="G532" s="111" t="s">
        <v>131</v>
      </c>
      <c r="H532" s="112">
        <v>1603080</v>
      </c>
      <c r="I532" s="112">
        <v>1633785</v>
      </c>
      <c r="J532" s="112">
        <v>1784277</v>
      </c>
      <c r="K532" s="112">
        <v>1850374</v>
      </c>
      <c r="L532" s="112">
        <v>2129174</v>
      </c>
      <c r="M532" s="112">
        <v>2240822</v>
      </c>
      <c r="N532" s="112">
        <v>2381793</v>
      </c>
      <c r="O532" s="112">
        <v>2457962</v>
      </c>
      <c r="P532" s="112">
        <v>2659406</v>
      </c>
      <c r="R532" s="111" t="s">
        <v>131</v>
      </c>
      <c r="S532" s="220">
        <v>1.5</v>
      </c>
      <c r="T532" s="220">
        <v>1.7</v>
      </c>
      <c r="U532" s="220">
        <v>1.2</v>
      </c>
      <c r="V532" s="220">
        <v>1.7</v>
      </c>
      <c r="W532" s="220">
        <v>1.4</v>
      </c>
      <c r="X532" s="220">
        <v>1.5</v>
      </c>
      <c r="Y532" s="220">
        <v>1.5</v>
      </c>
      <c r="Z532" s="220">
        <v>1.1000000000000001</v>
      </c>
      <c r="AA532" s="220">
        <v>1.2</v>
      </c>
      <c r="AC532" s="111" t="s">
        <v>131</v>
      </c>
      <c r="AD532" s="112">
        <f t="shared" si="657"/>
        <v>48092.4</v>
      </c>
      <c r="AE532" s="112">
        <f t="shared" si="657"/>
        <v>55548.69</v>
      </c>
      <c r="AF532" s="112">
        <f t="shared" si="657"/>
        <v>42822.648000000001</v>
      </c>
      <c r="AG532" s="112">
        <f t="shared" si="657"/>
        <v>62912.715999999993</v>
      </c>
      <c r="AH532" s="112">
        <f t="shared" si="657"/>
        <v>59616.871999999996</v>
      </c>
      <c r="AI532" s="112">
        <f t="shared" si="657"/>
        <v>67224.66</v>
      </c>
      <c r="AJ532" s="112">
        <f t="shared" si="657"/>
        <v>71453.789999999994</v>
      </c>
      <c r="AK532" s="112">
        <f t="shared" si="658"/>
        <v>54075.164000000004</v>
      </c>
      <c r="AL532" s="112">
        <f t="shared" si="659"/>
        <v>63825.743999999992</v>
      </c>
      <c r="AN532" s="111" t="s">
        <v>131</v>
      </c>
      <c r="AO532" s="113">
        <f t="shared" ref="AO532:AW532" si="664">H532/H528</f>
        <v>0.38817836717032095</v>
      </c>
      <c r="AP532" s="113">
        <f t="shared" si="664"/>
        <v>0.3880154884627387</v>
      </c>
      <c r="AQ532" s="113">
        <f t="shared" si="664"/>
        <v>0.41255407862235727</v>
      </c>
      <c r="AR532" s="113">
        <f t="shared" si="664"/>
        <v>0.41634786866227241</v>
      </c>
      <c r="AS532" s="113">
        <f t="shared" si="664"/>
        <v>0.46575340667821369</v>
      </c>
      <c r="AT532" s="113">
        <f t="shared" si="664"/>
        <v>0.4766353549864783</v>
      </c>
      <c r="AU532" s="113">
        <f t="shared" si="664"/>
        <v>0.49874141653615972</v>
      </c>
      <c r="AV532" s="113">
        <f t="shared" si="664"/>
        <v>0.54112563357038579</v>
      </c>
      <c r="AW532" s="113">
        <f t="shared" si="664"/>
        <v>0.57069116694642508</v>
      </c>
      <c r="AY532" s="111" t="s">
        <v>131</v>
      </c>
      <c r="AZ532" s="179">
        <f t="shared" si="644"/>
        <v>1.1645351015109629E-2</v>
      </c>
      <c r="BA532" s="179">
        <f t="shared" si="645"/>
        <v>1.3192526607733115E-2</v>
      </c>
      <c r="BB532" s="179">
        <f t="shared" si="646"/>
        <v>9.9012978869365744E-3</v>
      </c>
      <c r="BC532" s="179">
        <f t="shared" si="647"/>
        <v>1.4155827534517263E-2</v>
      </c>
      <c r="BD532" s="179">
        <f t="shared" si="648"/>
        <v>1.3041095386989983E-2</v>
      </c>
      <c r="BE532" s="179">
        <f t="shared" si="649"/>
        <v>1.4299060649594348E-2</v>
      </c>
      <c r="BF532" s="179">
        <f t="shared" si="650"/>
        <v>1.4962242496084792E-2</v>
      </c>
      <c r="BG532" s="179">
        <f t="shared" si="651"/>
        <v>1.1904763938548488E-2</v>
      </c>
      <c r="BH532" s="179">
        <f t="shared" si="652"/>
        <v>1.3696588006714201E-2</v>
      </c>
    </row>
    <row r="533" spans="3:60" x14ac:dyDescent="0.25">
      <c r="C533" s="85"/>
      <c r="D533" s="85"/>
      <c r="E533" s="207" t="s">
        <v>2</v>
      </c>
      <c r="F533" s="207" t="s">
        <v>132</v>
      </c>
      <c r="G533" s="195" t="s">
        <v>7</v>
      </c>
      <c r="H533" s="274">
        <v>7459027</v>
      </c>
      <c r="I533" s="274">
        <v>7336328</v>
      </c>
      <c r="J533" s="274">
        <v>7121839</v>
      </c>
      <c r="K533" s="274">
        <v>7019289</v>
      </c>
      <c r="L533" s="274">
        <v>6887101</v>
      </c>
      <c r="M533" s="274">
        <v>6855821</v>
      </c>
      <c r="N533" s="274">
        <v>6984299</v>
      </c>
      <c r="O533" s="69">
        <v>7234954</v>
      </c>
      <c r="P533" s="69">
        <v>7475020</v>
      </c>
      <c r="R533" s="195" t="s">
        <v>7</v>
      </c>
      <c r="S533" s="226">
        <v>0.3</v>
      </c>
      <c r="T533" s="226">
        <v>0.3</v>
      </c>
      <c r="U533" s="226">
        <v>0.3</v>
      </c>
      <c r="V533" s="226">
        <v>0.3</v>
      </c>
      <c r="W533" s="226">
        <v>0.4</v>
      </c>
      <c r="X533" s="226">
        <v>0.4</v>
      </c>
      <c r="Y533" s="226">
        <v>0.4</v>
      </c>
      <c r="Z533" s="226">
        <v>0.3</v>
      </c>
      <c r="AA533" s="226">
        <v>0.3</v>
      </c>
      <c r="AC533" s="195" t="s">
        <v>7</v>
      </c>
      <c r="AD533" s="69">
        <f t="shared" si="657"/>
        <v>44754.162000000004</v>
      </c>
      <c r="AE533" s="69">
        <f t="shared" si="657"/>
        <v>44017.968000000001</v>
      </c>
      <c r="AF533" s="69">
        <f t="shared" si="657"/>
        <v>42731.033999999992</v>
      </c>
      <c r="AG533" s="69">
        <f t="shared" si="657"/>
        <v>42115.733999999997</v>
      </c>
      <c r="AH533" s="69">
        <f t="shared" si="657"/>
        <v>55096.808000000005</v>
      </c>
      <c r="AI533" s="69">
        <f t="shared" si="657"/>
        <v>54846.568000000007</v>
      </c>
      <c r="AJ533" s="69">
        <f t="shared" si="657"/>
        <v>55874.392</v>
      </c>
      <c r="AK533" s="69">
        <f t="shared" si="658"/>
        <v>43409.723999999995</v>
      </c>
      <c r="AL533" s="69">
        <f t="shared" si="659"/>
        <v>44850.12</v>
      </c>
      <c r="AN533" s="195" t="s">
        <v>7</v>
      </c>
      <c r="AO533" s="98">
        <f t="shared" ref="AO533:AW533" si="665">H533/H533</f>
        <v>1</v>
      </c>
      <c r="AP533" s="98">
        <f t="shared" si="665"/>
        <v>1</v>
      </c>
      <c r="AQ533" s="98">
        <f t="shared" si="665"/>
        <v>1</v>
      </c>
      <c r="AR533" s="98">
        <f t="shared" si="665"/>
        <v>1</v>
      </c>
      <c r="AS533" s="98">
        <f t="shared" si="665"/>
        <v>1</v>
      </c>
      <c r="AT533" s="98">
        <f t="shared" si="665"/>
        <v>1</v>
      </c>
      <c r="AU533" s="98">
        <f t="shared" si="665"/>
        <v>1</v>
      </c>
      <c r="AV533" s="98">
        <f t="shared" si="665"/>
        <v>1</v>
      </c>
      <c r="AW533" s="98">
        <f t="shared" si="665"/>
        <v>1</v>
      </c>
      <c r="AY533" s="195" t="s">
        <v>7</v>
      </c>
      <c r="AZ533" s="178">
        <f t="shared" si="644"/>
        <v>6.0000000000000001E-3</v>
      </c>
      <c r="BA533" s="178">
        <f t="shared" si="645"/>
        <v>6.0000000000000001E-3</v>
      </c>
      <c r="BB533" s="178">
        <f t="shared" si="646"/>
        <v>6.0000000000000001E-3</v>
      </c>
      <c r="BC533" s="178">
        <f t="shared" si="647"/>
        <v>6.0000000000000001E-3</v>
      </c>
      <c r="BD533" s="178">
        <f t="shared" si="648"/>
        <v>8.0000000000000002E-3</v>
      </c>
      <c r="BE533" s="178">
        <f t="shared" si="649"/>
        <v>8.0000000000000002E-3</v>
      </c>
      <c r="BF533" s="178">
        <f t="shared" si="650"/>
        <v>8.0000000000000002E-3</v>
      </c>
      <c r="BG533" s="178">
        <f t="shared" si="651"/>
        <v>6.0000000000000001E-3</v>
      </c>
      <c r="BH533" s="178">
        <f t="shared" si="652"/>
        <v>6.0000000000000001E-3</v>
      </c>
    </row>
    <row r="534" spans="3:60" x14ac:dyDescent="0.25">
      <c r="C534" s="108"/>
      <c r="D534" s="108"/>
      <c r="E534" s="110" t="s">
        <v>2</v>
      </c>
      <c r="F534" s="110" t="s">
        <v>132</v>
      </c>
      <c r="G534" s="111" t="s">
        <v>54</v>
      </c>
      <c r="H534" s="112">
        <v>2349396</v>
      </c>
      <c r="I534" s="112">
        <v>2033446</v>
      </c>
      <c r="J534" s="112">
        <v>1879622</v>
      </c>
      <c r="K534" s="112">
        <v>1809110</v>
      </c>
      <c r="L534" s="112">
        <v>1627305</v>
      </c>
      <c r="M534" s="112">
        <v>1657694</v>
      </c>
      <c r="N534" s="112">
        <v>1551515</v>
      </c>
      <c r="O534" s="112">
        <v>1489026</v>
      </c>
      <c r="P534" s="112">
        <v>1413222</v>
      </c>
      <c r="R534" s="111" t="s">
        <v>54</v>
      </c>
      <c r="S534" s="220">
        <v>1.3</v>
      </c>
      <c r="T534" s="220">
        <v>1.5</v>
      </c>
      <c r="U534" s="220">
        <v>1.6</v>
      </c>
      <c r="V534" s="220">
        <v>1.5</v>
      </c>
      <c r="W534" s="220">
        <v>2</v>
      </c>
      <c r="X534" s="220">
        <v>2.6</v>
      </c>
      <c r="Y534" s="220">
        <v>1.9</v>
      </c>
      <c r="Z534" s="220">
        <v>2.5</v>
      </c>
      <c r="AA534" s="220">
        <v>2.6</v>
      </c>
      <c r="AC534" s="111" t="s">
        <v>54</v>
      </c>
      <c r="AD534" s="112">
        <f t="shared" si="657"/>
        <v>61084.296000000002</v>
      </c>
      <c r="AE534" s="112">
        <f t="shared" si="657"/>
        <v>61003.38</v>
      </c>
      <c r="AF534" s="112">
        <f t="shared" si="657"/>
        <v>60147.904000000002</v>
      </c>
      <c r="AG534" s="112">
        <f t="shared" si="657"/>
        <v>54273.3</v>
      </c>
      <c r="AH534" s="112">
        <f t="shared" si="657"/>
        <v>65092.2</v>
      </c>
      <c r="AI534" s="112">
        <f t="shared" si="657"/>
        <v>86200.088000000003</v>
      </c>
      <c r="AJ534" s="112">
        <f t="shared" si="657"/>
        <v>58957.57</v>
      </c>
      <c r="AK534" s="112">
        <f t="shared" si="658"/>
        <v>74451.3</v>
      </c>
      <c r="AL534" s="112">
        <f t="shared" si="659"/>
        <v>73487.544000000009</v>
      </c>
      <c r="AN534" s="111" t="s">
        <v>54</v>
      </c>
      <c r="AO534" s="113">
        <f t="shared" ref="AO534:AW534" si="666">H534/H533</f>
        <v>0.3149735213453444</v>
      </c>
      <c r="AP534" s="113">
        <f t="shared" si="666"/>
        <v>0.27717490275789197</v>
      </c>
      <c r="AQ534" s="113">
        <f t="shared" si="666"/>
        <v>0.2639236860030113</v>
      </c>
      <c r="AR534" s="113">
        <f t="shared" si="666"/>
        <v>0.25773408104439066</v>
      </c>
      <c r="AS534" s="113">
        <f t="shared" si="666"/>
        <v>0.23628301661323103</v>
      </c>
      <c r="AT534" s="113">
        <f t="shared" si="666"/>
        <v>0.24179365243054041</v>
      </c>
      <c r="AU534" s="113">
        <f t="shared" si="666"/>
        <v>0.22214326734866305</v>
      </c>
      <c r="AV534" s="113">
        <f t="shared" si="666"/>
        <v>0.20581001620742856</v>
      </c>
      <c r="AW534" s="113">
        <f t="shared" si="666"/>
        <v>0.18905929348684017</v>
      </c>
      <c r="AY534" s="111" t="s">
        <v>54</v>
      </c>
      <c r="AZ534" s="179">
        <f t="shared" si="644"/>
        <v>8.1893115549789546E-3</v>
      </c>
      <c r="BA534" s="179">
        <f t="shared" si="645"/>
        <v>8.315247082736758E-3</v>
      </c>
      <c r="BB534" s="179">
        <f t="shared" si="646"/>
        <v>8.4455579520963612E-3</v>
      </c>
      <c r="BC534" s="179">
        <f t="shared" si="647"/>
        <v>7.7320224313317202E-3</v>
      </c>
      <c r="BD534" s="179">
        <f t="shared" si="648"/>
        <v>9.4513206645292416E-3</v>
      </c>
      <c r="BE534" s="179">
        <f t="shared" si="649"/>
        <v>1.2573269926388101E-2</v>
      </c>
      <c r="BF534" s="179">
        <f t="shared" si="650"/>
        <v>8.4414441592491948E-3</v>
      </c>
      <c r="BG534" s="179">
        <f t="shared" si="651"/>
        <v>1.0290500810371427E-2</v>
      </c>
      <c r="BH534" s="179">
        <f t="shared" si="652"/>
        <v>9.8310832613156887E-3</v>
      </c>
    </row>
    <row r="535" spans="3:60" x14ac:dyDescent="0.25">
      <c r="C535" s="108"/>
      <c r="D535" s="108"/>
      <c r="E535" s="110" t="s">
        <v>2</v>
      </c>
      <c r="F535" s="110" t="s">
        <v>132</v>
      </c>
      <c r="G535" s="111" t="s">
        <v>55</v>
      </c>
      <c r="H535" s="70">
        <v>1674944</v>
      </c>
      <c r="I535" s="70">
        <v>1718074</v>
      </c>
      <c r="J535" s="70">
        <v>1569501</v>
      </c>
      <c r="K535" s="70">
        <v>1501303</v>
      </c>
      <c r="L535" s="70">
        <v>1400413</v>
      </c>
      <c r="M535" s="70">
        <v>1431834</v>
      </c>
      <c r="N535" s="70">
        <v>1483852</v>
      </c>
      <c r="O535" s="112">
        <v>1480334</v>
      </c>
      <c r="P535" s="112">
        <v>1553190</v>
      </c>
      <c r="R535" s="111" t="s">
        <v>55</v>
      </c>
      <c r="S535" s="81">
        <v>1.5</v>
      </c>
      <c r="T535" s="81">
        <v>1.5</v>
      </c>
      <c r="U535" s="81">
        <v>1.6</v>
      </c>
      <c r="V535" s="81">
        <v>1.5</v>
      </c>
      <c r="W535" s="81">
        <v>2.6</v>
      </c>
      <c r="X535" s="81">
        <v>2.2000000000000002</v>
      </c>
      <c r="Y535" s="81">
        <v>2.2000000000000002</v>
      </c>
      <c r="Z535" s="81">
        <v>2.5</v>
      </c>
      <c r="AA535" s="81">
        <v>2.2000000000000002</v>
      </c>
      <c r="AC535" s="111" t="s">
        <v>55</v>
      </c>
      <c r="AD535" s="70">
        <f t="shared" si="657"/>
        <v>50248.32</v>
      </c>
      <c r="AE535" s="70">
        <f t="shared" si="657"/>
        <v>51542.22</v>
      </c>
      <c r="AF535" s="70">
        <f t="shared" si="657"/>
        <v>50224.031999999999</v>
      </c>
      <c r="AG535" s="70">
        <f t="shared" si="657"/>
        <v>45039.09</v>
      </c>
      <c r="AH535" s="70">
        <f t="shared" si="657"/>
        <v>72821.47600000001</v>
      </c>
      <c r="AI535" s="70">
        <f t="shared" si="657"/>
        <v>63000.696000000004</v>
      </c>
      <c r="AJ535" s="70">
        <f t="shared" si="657"/>
        <v>65289.488000000005</v>
      </c>
      <c r="AK535" s="70">
        <f t="shared" si="658"/>
        <v>74016.7</v>
      </c>
      <c r="AL535" s="70">
        <f t="shared" si="659"/>
        <v>68340.360000000015</v>
      </c>
      <c r="AN535" s="111" t="s">
        <v>55</v>
      </c>
      <c r="AO535" s="113">
        <f t="shared" ref="AO535:AW535" si="667">H535/H533</f>
        <v>0.22455261255925202</v>
      </c>
      <c r="AP535" s="113">
        <f t="shared" si="667"/>
        <v>0.23418718465150412</v>
      </c>
      <c r="AQ535" s="113">
        <f t="shared" si="667"/>
        <v>0.22037861288355437</v>
      </c>
      <c r="AR535" s="113">
        <f t="shared" si="667"/>
        <v>0.21388248866801182</v>
      </c>
      <c r="AS535" s="113">
        <f t="shared" si="667"/>
        <v>0.20333853097261098</v>
      </c>
      <c r="AT535" s="113">
        <f t="shared" si="667"/>
        <v>0.20884938507000109</v>
      </c>
      <c r="AU535" s="113">
        <f t="shared" si="667"/>
        <v>0.21245539459292909</v>
      </c>
      <c r="AV535" s="113">
        <f t="shared" si="667"/>
        <v>0.20460862639900682</v>
      </c>
      <c r="AW535" s="113">
        <f t="shared" si="667"/>
        <v>0.20778405944064363</v>
      </c>
      <c r="AY535" s="111" t="s">
        <v>55</v>
      </c>
      <c r="AZ535" s="179">
        <f t="shared" si="644"/>
        <v>6.7365783767775597E-3</v>
      </c>
      <c r="BA535" s="179">
        <f t="shared" si="645"/>
        <v>7.0256155395451237E-3</v>
      </c>
      <c r="BB535" s="179">
        <f t="shared" si="646"/>
        <v>7.0521156122737407E-3</v>
      </c>
      <c r="BC535" s="179">
        <f t="shared" si="647"/>
        <v>6.4164746600403541E-3</v>
      </c>
      <c r="BD535" s="179">
        <f t="shared" si="648"/>
        <v>1.0573603610575773E-2</v>
      </c>
      <c r="BE535" s="179">
        <f t="shared" si="649"/>
        <v>9.1893729430800493E-3</v>
      </c>
      <c r="BF535" s="179">
        <f t="shared" si="650"/>
        <v>9.3480373620888797E-3</v>
      </c>
      <c r="BG535" s="179">
        <f t="shared" si="651"/>
        <v>1.0230431319950342E-2</v>
      </c>
      <c r="BH535" s="179">
        <f t="shared" si="652"/>
        <v>9.1424986153883208E-3</v>
      </c>
    </row>
    <row r="536" spans="3:60" x14ac:dyDescent="0.25">
      <c r="C536" s="108"/>
      <c r="D536" s="108"/>
      <c r="E536" s="110" t="s">
        <v>2</v>
      </c>
      <c r="F536" s="110" t="s">
        <v>132</v>
      </c>
      <c r="G536" s="111" t="s">
        <v>130</v>
      </c>
      <c r="H536" s="70">
        <v>973343</v>
      </c>
      <c r="I536" s="70">
        <v>1114355</v>
      </c>
      <c r="J536" s="70">
        <v>1054578</v>
      </c>
      <c r="K536" s="70">
        <v>944380</v>
      </c>
      <c r="L536" s="70">
        <v>942350</v>
      </c>
      <c r="M536" s="70">
        <v>982682</v>
      </c>
      <c r="N536" s="70">
        <v>983984</v>
      </c>
      <c r="O536" s="112">
        <v>1067030</v>
      </c>
      <c r="P536" s="112">
        <v>1127474</v>
      </c>
      <c r="R536" s="111" t="s">
        <v>130</v>
      </c>
      <c r="S536" s="220">
        <v>2.2999999999999998</v>
      </c>
      <c r="T536" s="220">
        <v>2.2999999999999998</v>
      </c>
      <c r="U536" s="220">
        <v>2</v>
      </c>
      <c r="V536" s="220">
        <v>2.7</v>
      </c>
      <c r="W536" s="220">
        <v>3</v>
      </c>
      <c r="X536" s="220">
        <v>2.8</v>
      </c>
      <c r="Y536" s="220">
        <v>2.9</v>
      </c>
      <c r="Z536" s="220">
        <v>2.6</v>
      </c>
      <c r="AA536" s="220">
        <v>2.6</v>
      </c>
      <c r="AC536" s="111" t="s">
        <v>130</v>
      </c>
      <c r="AD536" s="70">
        <f t="shared" si="657"/>
        <v>44773.777999999998</v>
      </c>
      <c r="AE536" s="70">
        <f t="shared" si="657"/>
        <v>51260.33</v>
      </c>
      <c r="AF536" s="70">
        <f t="shared" si="657"/>
        <v>42183.12</v>
      </c>
      <c r="AG536" s="70">
        <f t="shared" si="657"/>
        <v>50996.52</v>
      </c>
      <c r="AH536" s="70">
        <f t="shared" si="657"/>
        <v>56541</v>
      </c>
      <c r="AI536" s="70">
        <f t="shared" si="657"/>
        <v>55030.191999999995</v>
      </c>
      <c r="AJ536" s="70">
        <f t="shared" si="657"/>
        <v>57071.072</v>
      </c>
      <c r="AK536" s="70">
        <f t="shared" si="658"/>
        <v>55485.56</v>
      </c>
      <c r="AL536" s="70">
        <f t="shared" si="659"/>
        <v>58628.648000000001</v>
      </c>
      <c r="AN536" s="111" t="s">
        <v>130</v>
      </c>
      <c r="AO536" s="113">
        <f t="shared" ref="AO536:AW536" si="668">H536/H533</f>
        <v>0.13049195290484938</v>
      </c>
      <c r="AP536" s="113">
        <f t="shared" si="668"/>
        <v>0.15189547141294665</v>
      </c>
      <c r="AQ536" s="113">
        <f t="shared" si="668"/>
        <v>0.14807664144050434</v>
      </c>
      <c r="AR536" s="113">
        <f t="shared" si="668"/>
        <v>0.13454069208434075</v>
      </c>
      <c r="AS536" s="113">
        <f t="shared" si="668"/>
        <v>0.13682825328102491</v>
      </c>
      <c r="AT536" s="113">
        <f t="shared" si="668"/>
        <v>0.14333542255551887</v>
      </c>
      <c r="AU536" s="113">
        <f t="shared" si="668"/>
        <v>0.14088514824465562</v>
      </c>
      <c r="AV536" s="113">
        <f t="shared" si="668"/>
        <v>0.14748262393928144</v>
      </c>
      <c r="AW536" s="113">
        <f t="shared" si="668"/>
        <v>0.15083223857595029</v>
      </c>
      <c r="AY536" s="111" t="s">
        <v>130</v>
      </c>
      <c r="AZ536" s="179">
        <f t="shared" si="644"/>
        <v>6.0026298336230714E-3</v>
      </c>
      <c r="BA536" s="179">
        <f t="shared" si="645"/>
        <v>6.9871916849955449E-3</v>
      </c>
      <c r="BB536" s="179">
        <f t="shared" si="646"/>
        <v>5.9230656576201735E-3</v>
      </c>
      <c r="BC536" s="179">
        <f t="shared" si="647"/>
        <v>7.2651973725544007E-3</v>
      </c>
      <c r="BD536" s="179">
        <f t="shared" si="648"/>
        <v>8.2096951968614953E-3</v>
      </c>
      <c r="BE536" s="179">
        <f t="shared" si="649"/>
        <v>8.0267836631090564E-3</v>
      </c>
      <c r="BF536" s="179">
        <f t="shared" si="650"/>
        <v>8.1713385981900255E-3</v>
      </c>
      <c r="BG536" s="179">
        <f t="shared" si="651"/>
        <v>7.6690964448426343E-3</v>
      </c>
      <c r="BH536" s="179">
        <f t="shared" si="652"/>
        <v>7.8432764059494162E-3</v>
      </c>
    </row>
    <row r="537" spans="3:60" x14ac:dyDescent="0.25">
      <c r="C537" s="108"/>
      <c r="D537" s="108"/>
      <c r="E537" s="110" t="s">
        <v>2</v>
      </c>
      <c r="F537" s="110" t="s">
        <v>132</v>
      </c>
      <c r="G537" s="111" t="s">
        <v>131</v>
      </c>
      <c r="H537" s="112">
        <v>2461153</v>
      </c>
      <c r="I537" s="112">
        <v>2470754</v>
      </c>
      <c r="J537" s="112">
        <v>2615823</v>
      </c>
      <c r="K537" s="112">
        <v>2764886</v>
      </c>
      <c r="L537" s="112">
        <v>2918452</v>
      </c>
      <c r="M537" s="112">
        <v>2784426</v>
      </c>
      <c r="N537" s="112">
        <v>2965613</v>
      </c>
      <c r="O537" s="112">
        <v>3198564</v>
      </c>
      <c r="P537" s="112">
        <v>3381134</v>
      </c>
      <c r="R537" s="111" t="s">
        <v>131</v>
      </c>
      <c r="S537" s="220">
        <v>1.2</v>
      </c>
      <c r="T537" s="220">
        <v>1.4</v>
      </c>
      <c r="U537" s="220">
        <v>1.3</v>
      </c>
      <c r="V537" s="220">
        <v>1</v>
      </c>
      <c r="W537" s="220">
        <v>1.7</v>
      </c>
      <c r="X537" s="220">
        <v>1.2</v>
      </c>
      <c r="Y537" s="220">
        <v>1.4</v>
      </c>
      <c r="Z537" s="220">
        <v>1.3</v>
      </c>
      <c r="AA537" s="220">
        <v>1.2</v>
      </c>
      <c r="AC537" s="111" t="s">
        <v>131</v>
      </c>
      <c r="AD537" s="112">
        <f t="shared" si="657"/>
        <v>59067.671999999999</v>
      </c>
      <c r="AE537" s="112">
        <f t="shared" si="657"/>
        <v>69181.111999999994</v>
      </c>
      <c r="AF537" s="112">
        <f t="shared" si="657"/>
        <v>68011.398000000001</v>
      </c>
      <c r="AG537" s="112">
        <f t="shared" si="657"/>
        <v>55297.72</v>
      </c>
      <c r="AH537" s="112">
        <f t="shared" si="657"/>
        <v>99227.367999999988</v>
      </c>
      <c r="AI537" s="112">
        <f t="shared" si="657"/>
        <v>66826.223999999987</v>
      </c>
      <c r="AJ537" s="112">
        <f t="shared" si="657"/>
        <v>83037.16399999999</v>
      </c>
      <c r="AK537" s="112">
        <f t="shared" si="658"/>
        <v>83162.664000000004</v>
      </c>
      <c r="AL537" s="112">
        <f t="shared" si="659"/>
        <v>81147.216</v>
      </c>
      <c r="AN537" s="111" t="s">
        <v>131</v>
      </c>
      <c r="AO537" s="113">
        <f t="shared" ref="AO537:AW537" si="669">H537/H533</f>
        <v>0.32995630663355957</v>
      </c>
      <c r="AP537" s="113">
        <f t="shared" si="669"/>
        <v>0.33678346987757363</v>
      </c>
      <c r="AQ537" s="113">
        <f t="shared" si="669"/>
        <v>0.36729600318120081</v>
      </c>
      <c r="AR537" s="113">
        <f t="shared" si="669"/>
        <v>0.39389829938616289</v>
      </c>
      <c r="AS537" s="113">
        <f t="shared" si="669"/>
        <v>0.42375623647743804</v>
      </c>
      <c r="AT537" s="113">
        <f t="shared" si="669"/>
        <v>0.40614041702664055</v>
      </c>
      <c r="AU537" s="113">
        <f t="shared" si="669"/>
        <v>0.42461140337777636</v>
      </c>
      <c r="AV537" s="113">
        <f t="shared" si="669"/>
        <v>0.44209873345428319</v>
      </c>
      <c r="AW537" s="113">
        <f t="shared" si="669"/>
        <v>0.45232440849656591</v>
      </c>
      <c r="AY537" s="111" t="s">
        <v>131</v>
      </c>
      <c r="AZ537" s="179">
        <f t="shared" si="644"/>
        <v>7.9189513592054298E-3</v>
      </c>
      <c r="BA537" s="179">
        <f t="shared" si="645"/>
        <v>9.429937156572062E-3</v>
      </c>
      <c r="BB537" s="179">
        <f t="shared" si="646"/>
        <v>9.5496960827112214E-3</v>
      </c>
      <c r="BC537" s="179">
        <f t="shared" si="647"/>
        <v>7.877965987723258E-3</v>
      </c>
      <c r="BD537" s="179">
        <f t="shared" si="648"/>
        <v>1.4407712040232895E-2</v>
      </c>
      <c r="BE537" s="179">
        <f t="shared" si="649"/>
        <v>9.7473700086393739E-3</v>
      </c>
      <c r="BF537" s="179">
        <f t="shared" si="650"/>
        <v>1.1889119294577737E-2</v>
      </c>
      <c r="BG537" s="179">
        <f t="shared" si="651"/>
        <v>1.1494567069811364E-2</v>
      </c>
      <c r="BH537" s="179">
        <f t="shared" si="652"/>
        <v>1.0855785803917582E-2</v>
      </c>
    </row>
    <row r="538" spans="3:60" x14ac:dyDescent="0.25">
      <c r="C538" s="85"/>
      <c r="D538" s="85"/>
      <c r="E538" s="207" t="s">
        <v>3</v>
      </c>
      <c r="F538" s="207" t="s">
        <v>132</v>
      </c>
      <c r="G538" s="195" t="s">
        <v>7</v>
      </c>
      <c r="H538" s="274">
        <v>7268312</v>
      </c>
      <c r="I538" s="274">
        <v>7809306</v>
      </c>
      <c r="J538" s="274">
        <v>8296267</v>
      </c>
      <c r="K538" s="274">
        <v>8911815</v>
      </c>
      <c r="L538" s="274">
        <v>9364805</v>
      </c>
      <c r="M538" s="274">
        <v>9612746</v>
      </c>
      <c r="N538" s="274">
        <v>9737479</v>
      </c>
      <c r="O538" s="69">
        <v>9992636</v>
      </c>
      <c r="P538" s="69">
        <v>9939241</v>
      </c>
      <c r="R538" s="195" t="s">
        <v>7</v>
      </c>
      <c r="S538" s="226">
        <v>0.3</v>
      </c>
      <c r="T538" s="226">
        <v>0.3</v>
      </c>
      <c r="U538" s="226">
        <v>0.3</v>
      </c>
      <c r="V538" s="226">
        <v>0.3</v>
      </c>
      <c r="W538" s="226">
        <v>0.3</v>
      </c>
      <c r="X538" s="226">
        <v>0.4</v>
      </c>
      <c r="Y538" s="226">
        <v>0.3</v>
      </c>
      <c r="Z538" s="226">
        <v>0.3</v>
      </c>
      <c r="AA538" s="226">
        <v>0.3</v>
      </c>
      <c r="AC538" s="195" t="s">
        <v>7</v>
      </c>
      <c r="AD538" s="69">
        <f t="shared" si="657"/>
        <v>43609.872000000003</v>
      </c>
      <c r="AE538" s="69">
        <f t="shared" si="657"/>
        <v>46855.835999999996</v>
      </c>
      <c r="AF538" s="69">
        <f t="shared" si="657"/>
        <v>49777.601999999999</v>
      </c>
      <c r="AG538" s="69">
        <f t="shared" si="657"/>
        <v>53470.89</v>
      </c>
      <c r="AH538" s="69">
        <f t="shared" si="657"/>
        <v>56188.83</v>
      </c>
      <c r="AI538" s="69">
        <f t="shared" si="657"/>
        <v>76901.968000000008</v>
      </c>
      <c r="AJ538" s="69">
        <f t="shared" si="657"/>
        <v>58424.873999999996</v>
      </c>
      <c r="AK538" s="69">
        <f t="shared" si="658"/>
        <v>59955.815999999999</v>
      </c>
      <c r="AL538" s="69">
        <f t="shared" si="659"/>
        <v>59635.445999999996</v>
      </c>
      <c r="AN538" s="195" t="s">
        <v>7</v>
      </c>
      <c r="AO538" s="98">
        <f t="shared" ref="AO538:AW538" si="670">H538/H538</f>
        <v>1</v>
      </c>
      <c r="AP538" s="98">
        <f t="shared" si="670"/>
        <v>1</v>
      </c>
      <c r="AQ538" s="98">
        <f t="shared" si="670"/>
        <v>1</v>
      </c>
      <c r="AR538" s="98">
        <f t="shared" si="670"/>
        <v>1</v>
      </c>
      <c r="AS538" s="98">
        <f t="shared" si="670"/>
        <v>1</v>
      </c>
      <c r="AT538" s="98">
        <f t="shared" si="670"/>
        <v>1</v>
      </c>
      <c r="AU538" s="98">
        <f t="shared" si="670"/>
        <v>1</v>
      </c>
      <c r="AV538" s="98">
        <f t="shared" si="670"/>
        <v>1</v>
      </c>
      <c r="AW538" s="98">
        <f t="shared" si="670"/>
        <v>1</v>
      </c>
      <c r="AY538" s="195" t="s">
        <v>7</v>
      </c>
      <c r="AZ538" s="178">
        <f t="shared" si="644"/>
        <v>6.0000000000000001E-3</v>
      </c>
      <c r="BA538" s="178">
        <f t="shared" si="645"/>
        <v>6.0000000000000001E-3</v>
      </c>
      <c r="BB538" s="178">
        <f t="shared" si="646"/>
        <v>6.0000000000000001E-3</v>
      </c>
      <c r="BC538" s="178">
        <f t="shared" si="647"/>
        <v>6.0000000000000001E-3</v>
      </c>
      <c r="BD538" s="178">
        <f t="shared" si="648"/>
        <v>6.0000000000000001E-3</v>
      </c>
      <c r="BE538" s="178">
        <f t="shared" si="649"/>
        <v>8.0000000000000002E-3</v>
      </c>
      <c r="BF538" s="178">
        <f t="shared" si="650"/>
        <v>6.0000000000000001E-3</v>
      </c>
      <c r="BG538" s="178">
        <f t="shared" si="651"/>
        <v>6.0000000000000001E-3</v>
      </c>
      <c r="BH538" s="178">
        <f t="shared" si="652"/>
        <v>6.0000000000000001E-3</v>
      </c>
    </row>
    <row r="539" spans="3:60" x14ac:dyDescent="0.25">
      <c r="C539" s="108"/>
      <c r="D539" s="108"/>
      <c r="E539" s="110" t="s">
        <v>3</v>
      </c>
      <c r="F539" s="110" t="s">
        <v>132</v>
      </c>
      <c r="G539" s="111" t="s">
        <v>54</v>
      </c>
      <c r="H539" s="112">
        <v>1871488</v>
      </c>
      <c r="I539" s="112">
        <v>1802147</v>
      </c>
      <c r="J539" s="112">
        <v>1859171</v>
      </c>
      <c r="K539" s="112">
        <v>2063968</v>
      </c>
      <c r="L539" s="112">
        <v>2134545</v>
      </c>
      <c r="M539" s="112">
        <v>2145216</v>
      </c>
      <c r="N539" s="112">
        <v>2033526</v>
      </c>
      <c r="O539" s="112">
        <v>2034689</v>
      </c>
      <c r="P539" s="112">
        <v>1855789</v>
      </c>
      <c r="R539" s="111" t="s">
        <v>54</v>
      </c>
      <c r="S539" s="220">
        <v>1.5</v>
      </c>
      <c r="T539" s="220">
        <v>1.7</v>
      </c>
      <c r="U539" s="220">
        <v>1.7</v>
      </c>
      <c r="V539" s="220">
        <v>1.2</v>
      </c>
      <c r="W539" s="220">
        <v>1.8</v>
      </c>
      <c r="X539" s="220">
        <v>1.5</v>
      </c>
      <c r="Y539" s="220">
        <v>1.5</v>
      </c>
      <c r="Z539" s="220">
        <v>1.8</v>
      </c>
      <c r="AA539" s="220">
        <v>2.1</v>
      </c>
      <c r="AC539" s="111" t="s">
        <v>54</v>
      </c>
      <c r="AD539" s="112">
        <f t="shared" si="657"/>
        <v>56144.639999999999</v>
      </c>
      <c r="AE539" s="112">
        <f t="shared" si="657"/>
        <v>61272.998</v>
      </c>
      <c r="AF539" s="112">
        <f t="shared" si="657"/>
        <v>63211.813999999991</v>
      </c>
      <c r="AG539" s="112">
        <f t="shared" si="657"/>
        <v>49535.232000000004</v>
      </c>
      <c r="AH539" s="112">
        <f t="shared" si="657"/>
        <v>76843.62</v>
      </c>
      <c r="AI539" s="112">
        <f t="shared" si="657"/>
        <v>64356.480000000003</v>
      </c>
      <c r="AJ539" s="112">
        <f t="shared" si="657"/>
        <v>61005.78</v>
      </c>
      <c r="AK539" s="112">
        <f t="shared" si="658"/>
        <v>73248.804000000004</v>
      </c>
      <c r="AL539" s="112">
        <f t="shared" si="659"/>
        <v>77943.138000000006</v>
      </c>
      <c r="AN539" s="111" t="s">
        <v>54</v>
      </c>
      <c r="AO539" s="113">
        <f t="shared" ref="AO539:AW539" si="671">H539/H538</f>
        <v>0.25748591970185097</v>
      </c>
      <c r="AP539" s="113">
        <f t="shared" si="671"/>
        <v>0.23076916181796436</v>
      </c>
      <c r="AQ539" s="113">
        <f t="shared" si="671"/>
        <v>0.22409729580786153</v>
      </c>
      <c r="AR539" s="113">
        <f t="shared" si="671"/>
        <v>0.23159906259274907</v>
      </c>
      <c r="AS539" s="113">
        <f t="shared" si="671"/>
        <v>0.22793266917997759</v>
      </c>
      <c r="AT539" s="113">
        <f t="shared" si="671"/>
        <v>0.22316370369091204</v>
      </c>
      <c r="AU539" s="113">
        <f t="shared" si="671"/>
        <v>0.20883495615240866</v>
      </c>
      <c r="AV539" s="113">
        <f t="shared" si="671"/>
        <v>0.20361884491739718</v>
      </c>
      <c r="AW539" s="113">
        <f t="shared" si="671"/>
        <v>0.18671335165331035</v>
      </c>
      <c r="AY539" s="111" t="s">
        <v>54</v>
      </c>
      <c r="AZ539" s="179">
        <f t="shared" si="644"/>
        <v>7.724577591055529E-3</v>
      </c>
      <c r="BA539" s="179">
        <f t="shared" si="645"/>
        <v>7.8461515018107882E-3</v>
      </c>
      <c r="BB539" s="179">
        <f t="shared" si="646"/>
        <v>7.6193080574672922E-3</v>
      </c>
      <c r="BC539" s="179">
        <f t="shared" si="647"/>
        <v>5.5583775022259776E-3</v>
      </c>
      <c r="BD539" s="179">
        <f t="shared" si="648"/>
        <v>8.2055760904791927E-3</v>
      </c>
      <c r="BE539" s="179">
        <f t="shared" si="649"/>
        <v>6.6949111107273617E-3</v>
      </c>
      <c r="BF539" s="179">
        <f t="shared" si="650"/>
        <v>6.2650486845722596E-3</v>
      </c>
      <c r="BG539" s="179">
        <f t="shared" si="651"/>
        <v>7.3302784170262989E-3</v>
      </c>
      <c r="BH539" s="179">
        <f t="shared" si="652"/>
        <v>7.8419607694390353E-3</v>
      </c>
    </row>
    <row r="540" spans="3:60" x14ac:dyDescent="0.25">
      <c r="C540" s="108"/>
      <c r="D540" s="108"/>
      <c r="E540" s="110" t="s">
        <v>3</v>
      </c>
      <c r="F540" s="110" t="s">
        <v>132</v>
      </c>
      <c r="G540" s="111" t="s">
        <v>55</v>
      </c>
      <c r="H540" s="70">
        <v>2539896</v>
      </c>
      <c r="I540" s="70">
        <v>2899718</v>
      </c>
      <c r="J540" s="70">
        <v>3087939</v>
      </c>
      <c r="K540" s="70">
        <v>3118240</v>
      </c>
      <c r="L540" s="70">
        <v>3241531</v>
      </c>
      <c r="M540" s="70">
        <v>3191535</v>
      </c>
      <c r="N540" s="70">
        <v>3170691</v>
      </c>
      <c r="O540" s="112">
        <v>3278363</v>
      </c>
      <c r="P540" s="112">
        <v>3062473</v>
      </c>
      <c r="R540" s="111" t="s">
        <v>55</v>
      </c>
      <c r="S540" s="81">
        <v>1.2</v>
      </c>
      <c r="T540" s="81">
        <v>1.4</v>
      </c>
      <c r="U540" s="81">
        <v>1.1000000000000001</v>
      </c>
      <c r="V540" s="81">
        <v>1.2</v>
      </c>
      <c r="W540" s="81">
        <v>1.4</v>
      </c>
      <c r="X540" s="81">
        <v>1.1000000000000001</v>
      </c>
      <c r="Y540" s="81">
        <v>1.2</v>
      </c>
      <c r="Z540" s="81">
        <v>1.4</v>
      </c>
      <c r="AA540" s="81">
        <v>1.4</v>
      </c>
      <c r="AC540" s="111" t="s">
        <v>55</v>
      </c>
      <c r="AD540" s="70">
        <f t="shared" si="657"/>
        <v>60957.503999999994</v>
      </c>
      <c r="AE540" s="70">
        <f t="shared" si="657"/>
        <v>81192.103999999992</v>
      </c>
      <c r="AF540" s="70">
        <f t="shared" si="657"/>
        <v>67934.65800000001</v>
      </c>
      <c r="AG540" s="70">
        <f t="shared" si="657"/>
        <v>74837.759999999995</v>
      </c>
      <c r="AH540" s="70">
        <f t="shared" si="657"/>
        <v>90762.867999999988</v>
      </c>
      <c r="AI540" s="70">
        <f t="shared" si="657"/>
        <v>70213.77</v>
      </c>
      <c r="AJ540" s="70">
        <f t="shared" si="657"/>
        <v>76096.583999999988</v>
      </c>
      <c r="AK540" s="70">
        <f t="shared" si="658"/>
        <v>91794.16399999999</v>
      </c>
      <c r="AL540" s="70">
        <f t="shared" si="659"/>
        <v>85749.244000000006</v>
      </c>
      <c r="AN540" s="111" t="s">
        <v>55</v>
      </c>
      <c r="AO540" s="113">
        <f t="shared" ref="AO540:AW540" si="672">H540/H538</f>
        <v>0.34944784978960725</v>
      </c>
      <c r="AP540" s="113">
        <f t="shared" si="672"/>
        <v>0.37131570974424616</v>
      </c>
      <c r="AQ540" s="113">
        <f t="shared" si="672"/>
        <v>0.37220824739608788</v>
      </c>
      <c r="AR540" s="113">
        <f t="shared" si="672"/>
        <v>0.34989954347122332</v>
      </c>
      <c r="AS540" s="113">
        <f t="shared" si="672"/>
        <v>0.34613972207643406</v>
      </c>
      <c r="AT540" s="113">
        <f t="shared" si="672"/>
        <v>0.33201074906171452</v>
      </c>
      <c r="AU540" s="113">
        <f t="shared" si="672"/>
        <v>0.32561723624769817</v>
      </c>
      <c r="AV540" s="113">
        <f t="shared" si="672"/>
        <v>0.32807789656302899</v>
      </c>
      <c r="AW540" s="113">
        <f t="shared" si="672"/>
        <v>0.30811940267873572</v>
      </c>
      <c r="AY540" s="111" t="s">
        <v>55</v>
      </c>
      <c r="AZ540" s="179">
        <f t="shared" si="644"/>
        <v>8.3867483949505734E-3</v>
      </c>
      <c r="BA540" s="179">
        <f t="shared" si="645"/>
        <v>1.0396839872838893E-2</v>
      </c>
      <c r="BB540" s="179">
        <f t="shared" si="646"/>
        <v>8.1885814427139336E-3</v>
      </c>
      <c r="BC540" s="179">
        <f t="shared" si="647"/>
        <v>8.39758904330936E-3</v>
      </c>
      <c r="BD540" s="179">
        <f t="shared" si="648"/>
        <v>9.6919122181401522E-3</v>
      </c>
      <c r="BE540" s="179">
        <f t="shared" si="649"/>
        <v>7.3042364793577197E-3</v>
      </c>
      <c r="BF540" s="179">
        <f t="shared" si="650"/>
        <v>7.8148136699447562E-3</v>
      </c>
      <c r="BG540" s="179">
        <f t="shared" si="651"/>
        <v>9.1861811037648108E-3</v>
      </c>
      <c r="BH540" s="179">
        <f t="shared" si="652"/>
        <v>8.6273432750045998E-3</v>
      </c>
    </row>
    <row r="541" spans="3:60" x14ac:dyDescent="0.25">
      <c r="C541" s="108"/>
      <c r="D541" s="108"/>
      <c r="E541" s="110" t="s">
        <v>3</v>
      </c>
      <c r="F541" s="110" t="s">
        <v>132</v>
      </c>
      <c r="G541" s="111" t="s">
        <v>130</v>
      </c>
      <c r="H541" s="70">
        <v>791347</v>
      </c>
      <c r="I541" s="70">
        <v>952829</v>
      </c>
      <c r="J541" s="70">
        <v>979028</v>
      </c>
      <c r="K541" s="70">
        <v>968708</v>
      </c>
      <c r="L541" s="70">
        <v>1098658</v>
      </c>
      <c r="M541" s="70">
        <v>1193224</v>
      </c>
      <c r="N541" s="70">
        <v>1235563</v>
      </c>
      <c r="O541" s="112">
        <v>1321941</v>
      </c>
      <c r="P541" s="112">
        <v>1318849</v>
      </c>
      <c r="R541" s="111" t="s">
        <v>130</v>
      </c>
      <c r="S541" s="220">
        <v>2.2999999999999998</v>
      </c>
      <c r="T541" s="220">
        <v>2.5</v>
      </c>
      <c r="U541" s="220">
        <v>2.6</v>
      </c>
      <c r="V541" s="220">
        <v>2.8</v>
      </c>
      <c r="W541" s="220">
        <v>2.7</v>
      </c>
      <c r="X541" s="220">
        <v>2.2999999999999998</v>
      </c>
      <c r="Y541" s="220">
        <v>2.4</v>
      </c>
      <c r="Z541" s="220">
        <v>2.7</v>
      </c>
      <c r="AA541" s="220">
        <v>2.7</v>
      </c>
      <c r="AC541" s="111" t="s">
        <v>130</v>
      </c>
      <c r="AD541" s="70">
        <f t="shared" si="657"/>
        <v>36401.962</v>
      </c>
      <c r="AE541" s="70">
        <f t="shared" si="657"/>
        <v>47641.45</v>
      </c>
      <c r="AF541" s="70">
        <f t="shared" si="657"/>
        <v>50909.456000000006</v>
      </c>
      <c r="AG541" s="70">
        <f t="shared" si="657"/>
        <v>54247.648000000001</v>
      </c>
      <c r="AH541" s="70">
        <f t="shared" si="657"/>
        <v>59327.531999999999</v>
      </c>
      <c r="AI541" s="70">
        <f t="shared" si="657"/>
        <v>54888.303999999996</v>
      </c>
      <c r="AJ541" s="70">
        <f t="shared" si="657"/>
        <v>59307.023999999998</v>
      </c>
      <c r="AK541" s="70">
        <f t="shared" si="658"/>
        <v>71384.813999999998</v>
      </c>
      <c r="AL541" s="70">
        <f t="shared" si="659"/>
        <v>71217.846000000005</v>
      </c>
      <c r="AN541" s="111" t="s">
        <v>130</v>
      </c>
      <c r="AO541" s="113">
        <f t="shared" ref="AO541:AW541" si="673">H541/H538</f>
        <v>0.10887631130859544</v>
      </c>
      <c r="AP541" s="113">
        <f t="shared" si="673"/>
        <v>0.12201199440769769</v>
      </c>
      <c r="AQ541" s="113">
        <f t="shared" si="673"/>
        <v>0.11800825600236829</v>
      </c>
      <c r="AR541" s="113">
        <f t="shared" si="673"/>
        <v>0.1086992941392971</v>
      </c>
      <c r="AS541" s="113">
        <f t="shared" si="673"/>
        <v>0.11731776582641069</v>
      </c>
      <c r="AT541" s="113">
        <f t="shared" si="673"/>
        <v>0.12412935908220191</v>
      </c>
      <c r="AU541" s="113">
        <f t="shared" si="673"/>
        <v>0.12688735965438283</v>
      </c>
      <c r="AV541" s="113">
        <f t="shared" si="673"/>
        <v>0.13229151947494136</v>
      </c>
      <c r="AW541" s="113">
        <f t="shared" si="673"/>
        <v>0.13269111796363525</v>
      </c>
      <c r="AY541" s="111" t="s">
        <v>130</v>
      </c>
      <c r="AZ541" s="179">
        <f t="shared" si="644"/>
        <v>5.0083103201953904E-3</v>
      </c>
      <c r="BA541" s="179">
        <f t="shared" si="645"/>
        <v>6.1005997203848854E-3</v>
      </c>
      <c r="BB541" s="179">
        <f t="shared" si="646"/>
        <v>6.1364293121231516E-3</v>
      </c>
      <c r="BC541" s="179">
        <f t="shared" si="647"/>
        <v>6.0871604718006379E-3</v>
      </c>
      <c r="BD541" s="179">
        <f t="shared" si="648"/>
        <v>6.3351593546261773E-3</v>
      </c>
      <c r="BE541" s="179">
        <f t="shared" si="649"/>
        <v>5.7099505177812867E-3</v>
      </c>
      <c r="BF541" s="179">
        <f t="shared" si="650"/>
        <v>6.0905932634103752E-3</v>
      </c>
      <c r="BG541" s="179">
        <f t="shared" si="651"/>
        <v>7.1437420516468342E-3</v>
      </c>
      <c r="BH541" s="179">
        <f t="shared" si="652"/>
        <v>7.1653203700363047E-3</v>
      </c>
    </row>
    <row r="542" spans="3:60" x14ac:dyDescent="0.25">
      <c r="C542" s="108"/>
      <c r="D542" s="108"/>
      <c r="E542" s="110" t="s">
        <v>3</v>
      </c>
      <c r="F542" s="110" t="s">
        <v>132</v>
      </c>
      <c r="G542" s="111" t="s">
        <v>131</v>
      </c>
      <c r="H542" s="112">
        <v>2063408</v>
      </c>
      <c r="I542" s="112">
        <v>2153322</v>
      </c>
      <c r="J542" s="112">
        <v>2367526</v>
      </c>
      <c r="K542" s="112">
        <v>2757771</v>
      </c>
      <c r="L542" s="112">
        <v>2890397</v>
      </c>
      <c r="M542" s="112">
        <v>3083615</v>
      </c>
      <c r="N542" s="112">
        <v>3298653</v>
      </c>
      <c r="O542" s="112">
        <v>3357643</v>
      </c>
      <c r="P542" s="112">
        <v>3702130</v>
      </c>
      <c r="R542" s="111" t="s">
        <v>131</v>
      </c>
      <c r="S542" s="220">
        <v>1.3</v>
      </c>
      <c r="T542" s="220">
        <v>1.4</v>
      </c>
      <c r="U542" s="220">
        <v>1.5</v>
      </c>
      <c r="V542" s="220">
        <v>1.2</v>
      </c>
      <c r="W542" s="220">
        <v>1.4</v>
      </c>
      <c r="X542" s="220">
        <v>1.9</v>
      </c>
      <c r="Y542" s="220">
        <v>1.2</v>
      </c>
      <c r="Z542" s="220">
        <v>1.4</v>
      </c>
      <c r="AA542" s="220">
        <v>1.3</v>
      </c>
      <c r="AC542" s="111" t="s">
        <v>131</v>
      </c>
      <c r="AD542" s="112">
        <f t="shared" si="657"/>
        <v>53648.608</v>
      </c>
      <c r="AE542" s="112">
        <f t="shared" si="657"/>
        <v>60293.015999999996</v>
      </c>
      <c r="AF542" s="112">
        <f t="shared" si="657"/>
        <v>71025.78</v>
      </c>
      <c r="AG542" s="112">
        <f t="shared" si="657"/>
        <v>66186.504000000001</v>
      </c>
      <c r="AH542" s="112">
        <f t="shared" si="657"/>
        <v>80931.115999999995</v>
      </c>
      <c r="AI542" s="112">
        <f t="shared" si="657"/>
        <v>117177.37</v>
      </c>
      <c r="AJ542" s="112">
        <f t="shared" si="657"/>
        <v>79167.671999999991</v>
      </c>
      <c r="AK542" s="112">
        <f t="shared" si="658"/>
        <v>94014.003999999986</v>
      </c>
      <c r="AL542" s="112">
        <f t="shared" si="659"/>
        <v>96255.38</v>
      </c>
      <c r="AN542" s="111" t="s">
        <v>131</v>
      </c>
      <c r="AO542" s="113">
        <f t="shared" ref="AO542:AW542" si="674">H542/H538</f>
        <v>0.28389095019586391</v>
      </c>
      <c r="AP542" s="113">
        <f t="shared" si="674"/>
        <v>0.27573794649614192</v>
      </c>
      <c r="AQ542" s="113">
        <f t="shared" si="674"/>
        <v>0.28537244522144717</v>
      </c>
      <c r="AR542" s="113">
        <f t="shared" si="674"/>
        <v>0.30945110507792184</v>
      </c>
      <c r="AS542" s="113">
        <f t="shared" si="674"/>
        <v>0.30864465410651903</v>
      </c>
      <c r="AT542" s="113">
        <f t="shared" si="674"/>
        <v>0.32078398825892207</v>
      </c>
      <c r="AU542" s="113">
        <f t="shared" si="674"/>
        <v>0.33875841991546274</v>
      </c>
      <c r="AV542" s="113">
        <f t="shared" si="674"/>
        <v>0.33601173904463244</v>
      </c>
      <c r="AW542" s="113">
        <f t="shared" si="674"/>
        <v>0.37247612770431865</v>
      </c>
      <c r="AY542" s="111" t="s">
        <v>131</v>
      </c>
      <c r="AZ542" s="179">
        <f t="shared" si="644"/>
        <v>7.3811647050924627E-3</v>
      </c>
      <c r="BA542" s="179">
        <f t="shared" si="645"/>
        <v>7.720662501891973E-3</v>
      </c>
      <c r="BB542" s="179">
        <f t="shared" si="646"/>
        <v>8.5611733566434145E-3</v>
      </c>
      <c r="BC542" s="179">
        <f t="shared" si="647"/>
        <v>7.4268265218701236E-3</v>
      </c>
      <c r="BD542" s="179">
        <f t="shared" si="648"/>
        <v>8.6420503149825315E-3</v>
      </c>
      <c r="BE542" s="179">
        <f t="shared" si="649"/>
        <v>1.2189791553839037E-2</v>
      </c>
      <c r="BF542" s="179">
        <f t="shared" si="650"/>
        <v>8.1302020779711066E-3</v>
      </c>
      <c r="BG542" s="179">
        <f t="shared" si="651"/>
        <v>9.4083286932497082E-3</v>
      </c>
      <c r="BH542" s="179">
        <f t="shared" si="652"/>
        <v>9.6843793203122853E-3</v>
      </c>
    </row>
    <row r="543" spans="3:60" x14ac:dyDescent="0.25">
      <c r="C543" s="85"/>
      <c r="D543" s="85"/>
      <c r="E543" s="207" t="s">
        <v>45</v>
      </c>
      <c r="F543" s="207" t="s">
        <v>132</v>
      </c>
      <c r="G543" s="195" t="s">
        <v>7</v>
      </c>
      <c r="H543" s="274">
        <v>3636288</v>
      </c>
      <c r="I543" s="274">
        <v>3745091</v>
      </c>
      <c r="J543" s="274">
        <v>3894996</v>
      </c>
      <c r="K543" s="274">
        <v>4149444</v>
      </c>
      <c r="L543" s="274">
        <v>4418971</v>
      </c>
      <c r="M543" s="274">
        <v>4729131</v>
      </c>
      <c r="N543" s="274">
        <v>5137726</v>
      </c>
      <c r="O543" s="69">
        <v>5556756</v>
      </c>
      <c r="P543" s="69">
        <v>5970295</v>
      </c>
      <c r="R543" s="195" t="s">
        <v>7</v>
      </c>
      <c r="S543" s="226">
        <v>0.4</v>
      </c>
      <c r="T543" s="226">
        <v>0.3</v>
      </c>
      <c r="U543" s="226">
        <v>0.3</v>
      </c>
      <c r="V543" s="226">
        <v>0.3</v>
      </c>
      <c r="W543" s="226">
        <v>0.3</v>
      </c>
      <c r="X543" s="226">
        <v>0.3</v>
      </c>
      <c r="Y543" s="226">
        <v>0.3</v>
      </c>
      <c r="Z543" s="226">
        <v>0.4</v>
      </c>
      <c r="AA543" s="226">
        <v>0.4</v>
      </c>
      <c r="AC543" s="195" t="s">
        <v>7</v>
      </c>
      <c r="AD543" s="69">
        <f t="shared" si="657"/>
        <v>29090.304000000004</v>
      </c>
      <c r="AE543" s="69">
        <f t="shared" si="657"/>
        <v>22470.546000000002</v>
      </c>
      <c r="AF543" s="69">
        <f t="shared" si="657"/>
        <v>23369.976000000002</v>
      </c>
      <c r="AG543" s="69">
        <f t="shared" si="657"/>
        <v>24896.664000000001</v>
      </c>
      <c r="AH543" s="69">
        <f t="shared" si="657"/>
        <v>26513.826000000001</v>
      </c>
      <c r="AI543" s="69">
        <f t="shared" si="657"/>
        <v>28374.786</v>
      </c>
      <c r="AJ543" s="69">
        <f t="shared" si="657"/>
        <v>30826.356</v>
      </c>
      <c r="AK543" s="69">
        <f>2*(P543*Z543/100)</f>
        <v>47762.36</v>
      </c>
      <c r="AL543" s="69">
        <f t="shared" si="659"/>
        <v>47762.36</v>
      </c>
      <c r="AN543" s="195" t="s">
        <v>7</v>
      </c>
      <c r="AO543" s="98">
        <f t="shared" ref="AO543:AW543" si="675">H543/H543</f>
        <v>1</v>
      </c>
      <c r="AP543" s="98">
        <f t="shared" si="675"/>
        <v>1</v>
      </c>
      <c r="AQ543" s="98">
        <f t="shared" si="675"/>
        <v>1</v>
      </c>
      <c r="AR543" s="98">
        <f t="shared" si="675"/>
        <v>1</v>
      </c>
      <c r="AS543" s="98">
        <f t="shared" si="675"/>
        <v>1</v>
      </c>
      <c r="AT543" s="98">
        <f t="shared" si="675"/>
        <v>1</v>
      </c>
      <c r="AU543" s="98">
        <f t="shared" si="675"/>
        <v>1</v>
      </c>
      <c r="AV543" s="98">
        <f t="shared" si="675"/>
        <v>1</v>
      </c>
      <c r="AW543" s="98">
        <f t="shared" si="675"/>
        <v>1</v>
      </c>
      <c r="AY543" s="195" t="s">
        <v>7</v>
      </c>
      <c r="AZ543" s="178">
        <f t="shared" si="644"/>
        <v>8.0000000000000002E-3</v>
      </c>
      <c r="BA543" s="178">
        <f t="shared" si="645"/>
        <v>6.0000000000000001E-3</v>
      </c>
      <c r="BB543" s="178">
        <f t="shared" si="646"/>
        <v>6.0000000000000001E-3</v>
      </c>
      <c r="BC543" s="178">
        <f t="shared" si="647"/>
        <v>6.0000000000000001E-3</v>
      </c>
      <c r="BD543" s="178">
        <f t="shared" si="648"/>
        <v>6.0000000000000001E-3</v>
      </c>
      <c r="BE543" s="178">
        <f t="shared" si="649"/>
        <v>6.0000000000000001E-3</v>
      </c>
      <c r="BF543" s="178">
        <f t="shared" si="650"/>
        <v>6.0000000000000001E-3</v>
      </c>
      <c r="BG543" s="178">
        <f t="shared" si="651"/>
        <v>8.0000000000000002E-3</v>
      </c>
      <c r="BH543" s="178">
        <f t="shared" si="652"/>
        <v>8.0000000000000002E-3</v>
      </c>
    </row>
    <row r="544" spans="3:60" x14ac:dyDescent="0.25">
      <c r="C544" s="108"/>
      <c r="D544" s="108"/>
      <c r="E544" s="110" t="s">
        <v>45</v>
      </c>
      <c r="F544" s="110" t="s">
        <v>132</v>
      </c>
      <c r="G544" s="111" t="s">
        <v>54</v>
      </c>
      <c r="H544" s="112">
        <v>440379</v>
      </c>
      <c r="I544" s="112">
        <v>409633</v>
      </c>
      <c r="J544" s="112">
        <v>414111</v>
      </c>
      <c r="K544" s="112">
        <v>441723</v>
      </c>
      <c r="L544" s="112">
        <v>450779</v>
      </c>
      <c r="M544" s="112">
        <v>455274</v>
      </c>
      <c r="N544" s="112">
        <v>499742</v>
      </c>
      <c r="O544" s="112">
        <v>535819</v>
      </c>
      <c r="P544" s="112">
        <v>582342</v>
      </c>
      <c r="R544" s="111" t="s">
        <v>54</v>
      </c>
      <c r="S544" s="220">
        <v>2.9</v>
      </c>
      <c r="T544" s="220">
        <v>2.7</v>
      </c>
      <c r="U544" s="220">
        <v>2.6</v>
      </c>
      <c r="V544" s="220">
        <v>2.9</v>
      </c>
      <c r="W544" s="220">
        <v>2.7</v>
      </c>
      <c r="X544" s="220">
        <v>2.5</v>
      </c>
      <c r="Y544" s="220">
        <v>2.8</v>
      </c>
      <c r="Z544" s="220">
        <v>3.8</v>
      </c>
      <c r="AA544" s="220">
        <v>3.8</v>
      </c>
      <c r="AC544" s="111" t="s">
        <v>54</v>
      </c>
      <c r="AD544" s="112">
        <f t="shared" si="657"/>
        <v>25541.981999999996</v>
      </c>
      <c r="AE544" s="112">
        <f t="shared" si="657"/>
        <v>22120.182000000001</v>
      </c>
      <c r="AF544" s="112">
        <f t="shared" si="657"/>
        <v>21533.772000000001</v>
      </c>
      <c r="AG544" s="112">
        <f t="shared" si="657"/>
        <v>25619.933999999997</v>
      </c>
      <c r="AH544" s="112">
        <f t="shared" si="657"/>
        <v>24342.066000000003</v>
      </c>
      <c r="AI544" s="112">
        <f t="shared" si="657"/>
        <v>22763.7</v>
      </c>
      <c r="AJ544" s="112">
        <f t="shared" si="657"/>
        <v>27985.551999999996</v>
      </c>
      <c r="AK544" s="112">
        <f>2*(P544*Z544/100)</f>
        <v>44257.991999999998</v>
      </c>
      <c r="AL544" s="112">
        <f t="shared" si="659"/>
        <v>44257.991999999998</v>
      </c>
      <c r="AN544" s="111" t="s">
        <v>54</v>
      </c>
      <c r="AO544" s="113">
        <f t="shared" ref="AO544:AW544" si="676">H544/H543</f>
        <v>0.12110674402027562</v>
      </c>
      <c r="AP544" s="113">
        <f t="shared" si="676"/>
        <v>0.10937865061222811</v>
      </c>
      <c r="AQ544" s="113">
        <f t="shared" si="676"/>
        <v>0.10631872279201314</v>
      </c>
      <c r="AR544" s="113">
        <f t="shared" si="676"/>
        <v>0.10645353931755676</v>
      </c>
      <c r="AS544" s="113">
        <f t="shared" si="676"/>
        <v>0.10200994756471586</v>
      </c>
      <c r="AT544" s="113">
        <f t="shared" si="676"/>
        <v>9.6270118125296164E-2</v>
      </c>
      <c r="AU544" s="113">
        <f t="shared" si="676"/>
        <v>9.7269103101255305E-2</v>
      </c>
      <c r="AV544" s="113">
        <f t="shared" si="676"/>
        <v>9.642658414369823E-2</v>
      </c>
      <c r="AW544" s="113">
        <f t="shared" si="676"/>
        <v>9.7539903807098316E-2</v>
      </c>
      <c r="AY544" s="111" t="s">
        <v>54</v>
      </c>
      <c r="AZ544" s="179">
        <f t="shared" si="644"/>
        <v>7.0241911531759857E-3</v>
      </c>
      <c r="BA544" s="179">
        <f t="shared" si="645"/>
        <v>5.9064471330603184E-3</v>
      </c>
      <c r="BB544" s="179">
        <f t="shared" si="646"/>
        <v>5.5285735851846839E-3</v>
      </c>
      <c r="BC544" s="179">
        <f t="shared" si="647"/>
        <v>6.1743052804182916E-3</v>
      </c>
      <c r="BD544" s="179">
        <f t="shared" si="648"/>
        <v>5.5085371684946574E-3</v>
      </c>
      <c r="BE544" s="179">
        <f t="shared" si="649"/>
        <v>4.813505906264808E-3</v>
      </c>
      <c r="BF544" s="179">
        <f t="shared" si="650"/>
        <v>5.4470697736702968E-3</v>
      </c>
      <c r="BG544" s="179">
        <f t="shared" si="651"/>
        <v>7.328420394921065E-3</v>
      </c>
      <c r="BH544" s="179">
        <f t="shared" si="652"/>
        <v>7.4130326893394717E-3</v>
      </c>
    </row>
    <row r="545" spans="2:68" x14ac:dyDescent="0.25">
      <c r="C545" s="108"/>
      <c r="D545" s="108"/>
      <c r="E545" s="110" t="s">
        <v>45</v>
      </c>
      <c r="F545" s="110" t="s">
        <v>132</v>
      </c>
      <c r="G545" s="111" t="s">
        <v>55</v>
      </c>
      <c r="H545" s="70">
        <v>1527684</v>
      </c>
      <c r="I545" s="70">
        <v>1615144</v>
      </c>
      <c r="J545" s="70">
        <v>1675777</v>
      </c>
      <c r="K545" s="70">
        <v>1810035</v>
      </c>
      <c r="L545" s="70">
        <v>1920259</v>
      </c>
      <c r="M545" s="70">
        <v>2078650</v>
      </c>
      <c r="N545" s="70">
        <v>2255185</v>
      </c>
      <c r="O545" s="112">
        <v>2358276</v>
      </c>
      <c r="P545" s="112">
        <v>2563189</v>
      </c>
      <c r="R545" s="111" t="s">
        <v>55</v>
      </c>
      <c r="S545" s="81">
        <v>1.2</v>
      </c>
      <c r="T545" s="81">
        <v>1.2</v>
      </c>
      <c r="U545" s="81">
        <v>1.1000000000000001</v>
      </c>
      <c r="V545" s="81">
        <v>1.2</v>
      </c>
      <c r="W545" s="81">
        <v>1</v>
      </c>
      <c r="X545" s="81">
        <v>1</v>
      </c>
      <c r="Y545" s="81">
        <v>1.1000000000000001</v>
      </c>
      <c r="Z545" s="81">
        <v>1.6</v>
      </c>
      <c r="AA545" s="81">
        <v>1.3</v>
      </c>
      <c r="AC545" s="111" t="s">
        <v>55</v>
      </c>
      <c r="AD545" s="70">
        <f t="shared" si="657"/>
        <v>36664.415999999997</v>
      </c>
      <c r="AE545" s="70">
        <f t="shared" si="657"/>
        <v>38763.455999999998</v>
      </c>
      <c r="AF545" s="70">
        <f t="shared" si="657"/>
        <v>36867.094000000005</v>
      </c>
      <c r="AG545" s="70">
        <f t="shared" si="657"/>
        <v>43440.84</v>
      </c>
      <c r="AH545" s="70">
        <f t="shared" si="657"/>
        <v>38405.18</v>
      </c>
      <c r="AI545" s="70">
        <f t="shared" si="657"/>
        <v>41573</v>
      </c>
      <c r="AJ545" s="70">
        <f t="shared" si="657"/>
        <v>49614.07</v>
      </c>
      <c r="AK545" s="70">
        <f>2*(P545*Z545/100)</f>
        <v>82022.04800000001</v>
      </c>
      <c r="AL545" s="70">
        <f t="shared" si="659"/>
        <v>66642.914000000004</v>
      </c>
      <c r="AN545" s="111" t="s">
        <v>55</v>
      </c>
      <c r="AO545" s="113">
        <f t="shared" ref="AO545:AW545" si="677">H545/H543</f>
        <v>0.42012183853424151</v>
      </c>
      <c r="AP545" s="113">
        <f t="shared" si="677"/>
        <v>0.43126962736018964</v>
      </c>
      <c r="AQ545" s="113">
        <f t="shared" si="677"/>
        <v>0.43023843926925726</v>
      </c>
      <c r="AR545" s="113">
        <f t="shared" si="677"/>
        <v>0.43621145387189225</v>
      </c>
      <c r="AS545" s="113">
        <f t="shared" si="677"/>
        <v>0.43454890290069792</v>
      </c>
      <c r="AT545" s="113">
        <f t="shared" si="677"/>
        <v>0.43954164094841103</v>
      </c>
      <c r="AU545" s="113">
        <f t="shared" si="677"/>
        <v>0.43894614076344279</v>
      </c>
      <c r="AV545" s="113">
        <f t="shared" si="677"/>
        <v>0.42439797608532748</v>
      </c>
      <c r="AW545" s="113">
        <f t="shared" si="677"/>
        <v>0.42932367663574411</v>
      </c>
      <c r="AY545" s="111" t="s">
        <v>55</v>
      </c>
      <c r="AZ545" s="179">
        <f t="shared" si="644"/>
        <v>1.0082924124821795E-2</v>
      </c>
      <c r="BA545" s="179">
        <f t="shared" si="645"/>
        <v>1.035047105664455E-2</v>
      </c>
      <c r="BB545" s="179">
        <f t="shared" si="646"/>
        <v>9.4652456639236597E-3</v>
      </c>
      <c r="BC545" s="179">
        <f t="shared" si="647"/>
        <v>1.0469074892925414E-2</v>
      </c>
      <c r="BD545" s="179">
        <f t="shared" si="648"/>
        <v>8.6909780580139585E-3</v>
      </c>
      <c r="BE545" s="179">
        <f t="shared" si="649"/>
        <v>8.7908328189682198E-3</v>
      </c>
      <c r="BF545" s="179">
        <f t="shared" si="650"/>
        <v>9.6568150967957424E-3</v>
      </c>
      <c r="BG545" s="179">
        <f t="shared" si="651"/>
        <v>1.3580735234730482E-2</v>
      </c>
      <c r="BH545" s="179">
        <f t="shared" si="652"/>
        <v>1.1162415592529347E-2</v>
      </c>
    </row>
    <row r="546" spans="2:68" x14ac:dyDescent="0.25">
      <c r="C546" s="108"/>
      <c r="D546" s="108"/>
      <c r="E546" s="110" t="s">
        <v>45</v>
      </c>
      <c r="F546" s="110" t="s">
        <v>132</v>
      </c>
      <c r="G546" s="111" t="s">
        <v>130</v>
      </c>
      <c r="H546" s="70">
        <v>353197</v>
      </c>
      <c r="I546" s="70">
        <v>405964</v>
      </c>
      <c r="J546" s="70">
        <v>423507</v>
      </c>
      <c r="K546" s="70">
        <v>405572</v>
      </c>
      <c r="L546" s="70">
        <v>456678</v>
      </c>
      <c r="M546" s="70">
        <v>519524</v>
      </c>
      <c r="N546" s="70">
        <v>574858</v>
      </c>
      <c r="O546" s="112">
        <v>655566</v>
      </c>
      <c r="P546" s="112">
        <v>684014</v>
      </c>
      <c r="R546" s="111" t="s">
        <v>130</v>
      </c>
      <c r="S546" s="220">
        <v>3.2</v>
      </c>
      <c r="T546" s="220">
        <v>2.7</v>
      </c>
      <c r="U546" s="220">
        <v>2.6</v>
      </c>
      <c r="V546" s="220">
        <v>2.9</v>
      </c>
      <c r="W546" s="220">
        <v>2.7</v>
      </c>
      <c r="X546" s="220">
        <v>2.1</v>
      </c>
      <c r="Y546" s="220">
        <v>2.7</v>
      </c>
      <c r="Z546" s="220">
        <v>3.8</v>
      </c>
      <c r="AA546" s="220">
        <v>3.8</v>
      </c>
      <c r="AC546" s="111" t="s">
        <v>130</v>
      </c>
      <c r="AD546" s="70">
        <f t="shared" si="657"/>
        <v>22604.608000000004</v>
      </c>
      <c r="AE546" s="70">
        <f t="shared" si="657"/>
        <v>21922.056</v>
      </c>
      <c r="AF546" s="70">
        <f t="shared" si="657"/>
        <v>22022.363999999998</v>
      </c>
      <c r="AG546" s="70">
        <f t="shared" si="657"/>
        <v>23523.175999999999</v>
      </c>
      <c r="AH546" s="70">
        <f t="shared" si="657"/>
        <v>24660.612000000001</v>
      </c>
      <c r="AI546" s="70">
        <f t="shared" si="657"/>
        <v>21820.008000000002</v>
      </c>
      <c r="AJ546" s="70">
        <f t="shared" si="657"/>
        <v>31042.332000000002</v>
      </c>
      <c r="AK546" s="70">
        <f>2*(P546*Z546/100)</f>
        <v>51985.063999999991</v>
      </c>
      <c r="AL546" s="70">
        <f t="shared" si="659"/>
        <v>51985.063999999991</v>
      </c>
      <c r="AN546" s="111" t="s">
        <v>130</v>
      </c>
      <c r="AO546" s="113">
        <f t="shared" ref="AO546:AW546" si="678">H546/H543</f>
        <v>9.7131195328862843E-2</v>
      </c>
      <c r="AP546" s="113">
        <f t="shared" si="678"/>
        <v>0.10839896814256315</v>
      </c>
      <c r="AQ546" s="113">
        <f t="shared" si="678"/>
        <v>0.10873104876102568</v>
      </c>
      <c r="AR546" s="113">
        <f t="shared" si="678"/>
        <v>9.7741287748430869E-2</v>
      </c>
      <c r="AS546" s="113">
        <f t="shared" si="678"/>
        <v>0.10334487372739039</v>
      </c>
      <c r="AT546" s="113">
        <f t="shared" si="678"/>
        <v>0.10985612367261555</v>
      </c>
      <c r="AU546" s="113">
        <f t="shared" si="678"/>
        <v>0.11188957916401147</v>
      </c>
      <c r="AV546" s="113">
        <f t="shared" si="678"/>
        <v>0.11797638766215396</v>
      </c>
      <c r="AW546" s="113">
        <f t="shared" si="678"/>
        <v>0.11456954807090772</v>
      </c>
      <c r="AY546" s="111" t="s">
        <v>130</v>
      </c>
      <c r="AZ546" s="179">
        <f t="shared" si="644"/>
        <v>6.2163965010472218E-3</v>
      </c>
      <c r="BA546" s="179">
        <f t="shared" si="645"/>
        <v>5.8535442796984107E-3</v>
      </c>
      <c r="BB546" s="179">
        <f t="shared" si="646"/>
        <v>5.6540145355733363E-3</v>
      </c>
      <c r="BC546" s="179">
        <f t="shared" si="647"/>
        <v>5.6689946894089901E-3</v>
      </c>
      <c r="BD546" s="179">
        <f t="shared" si="648"/>
        <v>5.5806231812790819E-3</v>
      </c>
      <c r="BE546" s="179">
        <f t="shared" si="649"/>
        <v>4.6139571942498533E-3</v>
      </c>
      <c r="BF546" s="179">
        <f t="shared" si="650"/>
        <v>6.0420372748566202E-3</v>
      </c>
      <c r="BG546" s="179">
        <f t="shared" si="651"/>
        <v>8.9662054623237016E-3</v>
      </c>
      <c r="BH546" s="179">
        <f t="shared" si="652"/>
        <v>8.7072856533889856E-3</v>
      </c>
    </row>
    <row r="547" spans="2:68" x14ac:dyDescent="0.25">
      <c r="C547" s="108"/>
      <c r="D547" s="108"/>
      <c r="E547" s="110" t="s">
        <v>45</v>
      </c>
      <c r="F547" s="110" t="s">
        <v>132</v>
      </c>
      <c r="G547" s="111" t="s">
        <v>131</v>
      </c>
      <c r="H547" s="112">
        <v>1314092</v>
      </c>
      <c r="I547" s="112">
        <v>1309940</v>
      </c>
      <c r="J547" s="112">
        <v>1376189</v>
      </c>
      <c r="K547" s="112">
        <v>1484254</v>
      </c>
      <c r="L547" s="112">
        <v>1591626</v>
      </c>
      <c r="M547" s="112">
        <v>1675981</v>
      </c>
      <c r="N547" s="112">
        <v>1808815</v>
      </c>
      <c r="O547" s="112">
        <v>2007095</v>
      </c>
      <c r="P547" s="112">
        <v>2140750</v>
      </c>
      <c r="R547" s="111" t="s">
        <v>131</v>
      </c>
      <c r="S547" s="220">
        <v>1.7</v>
      </c>
      <c r="T547" s="220">
        <v>1.4</v>
      </c>
      <c r="U547" s="220">
        <v>1.1000000000000001</v>
      </c>
      <c r="V547" s="220">
        <v>1.2</v>
      </c>
      <c r="W547" s="220">
        <v>1.3</v>
      </c>
      <c r="X547" s="220">
        <v>1.4</v>
      </c>
      <c r="Y547" s="220">
        <v>1.4</v>
      </c>
      <c r="Z547" s="220">
        <v>1.6</v>
      </c>
      <c r="AA547" s="220">
        <v>1.3</v>
      </c>
      <c r="AC547" s="111" t="s">
        <v>131</v>
      </c>
      <c r="AD547" s="112">
        <f t="shared" ref="AD547:AJ547" si="679">2*(H547*S547/100)</f>
        <v>44679.127999999997</v>
      </c>
      <c r="AE547" s="112">
        <f t="shared" si="679"/>
        <v>36678.32</v>
      </c>
      <c r="AF547" s="112">
        <f t="shared" si="679"/>
        <v>30276.158000000003</v>
      </c>
      <c r="AG547" s="112">
        <f t="shared" si="679"/>
        <v>35622.095999999998</v>
      </c>
      <c r="AH547" s="112">
        <f t="shared" si="679"/>
        <v>41382.275999999998</v>
      </c>
      <c r="AI547" s="112">
        <f t="shared" si="679"/>
        <v>46927.468000000001</v>
      </c>
      <c r="AJ547" s="112">
        <f t="shared" si="679"/>
        <v>50646.82</v>
      </c>
      <c r="AK547" s="112">
        <f>2*(P547*Z547/100)</f>
        <v>68504</v>
      </c>
      <c r="AL547" s="112">
        <f t="shared" si="659"/>
        <v>55659.5</v>
      </c>
      <c r="AN547" s="111" t="s">
        <v>131</v>
      </c>
      <c r="AO547" s="113">
        <f t="shared" ref="AO547:AW547" si="680">H547/H543</f>
        <v>0.36138281676258865</v>
      </c>
      <c r="AP547" s="113">
        <f t="shared" si="680"/>
        <v>0.34977521240471859</v>
      </c>
      <c r="AQ547" s="113">
        <f t="shared" si="680"/>
        <v>0.35332231406656128</v>
      </c>
      <c r="AR547" s="113">
        <f t="shared" si="680"/>
        <v>0.357699489377372</v>
      </c>
      <c r="AS547" s="113">
        <f t="shared" si="680"/>
        <v>0.3601802320042381</v>
      </c>
      <c r="AT547" s="113">
        <f t="shared" si="680"/>
        <v>0.35439513094477609</v>
      </c>
      <c r="AU547" s="113">
        <f t="shared" si="680"/>
        <v>0.35206529114242369</v>
      </c>
      <c r="AV547" s="113">
        <f t="shared" si="680"/>
        <v>0.36119905210882031</v>
      </c>
      <c r="AW547" s="113">
        <f t="shared" si="680"/>
        <v>0.35856687148624983</v>
      </c>
      <c r="AY547" s="111" t="s">
        <v>131</v>
      </c>
      <c r="AZ547" s="179">
        <f t="shared" si="644"/>
        <v>1.2287015769928014E-2</v>
      </c>
      <c r="BA547" s="179">
        <f t="shared" si="645"/>
        <v>9.7937059473321205E-3</v>
      </c>
      <c r="BB547" s="179">
        <f t="shared" si="646"/>
        <v>7.7730909094643483E-3</v>
      </c>
      <c r="BC547" s="179">
        <f t="shared" si="647"/>
        <v>8.5847877450569276E-3</v>
      </c>
      <c r="BD547" s="179">
        <f t="shared" si="648"/>
        <v>9.3646860321101918E-3</v>
      </c>
      <c r="BE547" s="179">
        <f t="shared" si="649"/>
        <v>9.9230636664537301E-3</v>
      </c>
      <c r="BF547" s="179">
        <f t="shared" si="650"/>
        <v>9.8578281519878623E-3</v>
      </c>
      <c r="BG547" s="179">
        <f t="shared" si="651"/>
        <v>1.1558369667482251E-2</v>
      </c>
      <c r="BH547" s="179">
        <f t="shared" si="652"/>
        <v>9.3227386586424953E-3</v>
      </c>
    </row>
    <row r="548" spans="2:68" s="173" customFormat="1" x14ac:dyDescent="0.25">
      <c r="B548" s="172"/>
      <c r="C548" s="85"/>
      <c r="D548" s="85"/>
      <c r="E548" s="206" t="s">
        <v>46</v>
      </c>
      <c r="F548" s="207" t="s">
        <v>132</v>
      </c>
      <c r="G548" s="195" t="s">
        <v>7</v>
      </c>
      <c r="H548" s="274">
        <v>25716194</v>
      </c>
      <c r="I548" s="274">
        <v>26396901</v>
      </c>
      <c r="J548" s="274">
        <v>26976314</v>
      </c>
      <c r="K548" s="274">
        <v>27889743</v>
      </c>
      <c r="L548" s="274">
        <v>28585814</v>
      </c>
      <c r="M548" s="274">
        <v>29135896</v>
      </c>
      <c r="N548" s="274">
        <v>29800995</v>
      </c>
      <c r="O548" s="69">
        <v>30460543</v>
      </c>
      <c r="P548" s="69">
        <v>31157220</v>
      </c>
      <c r="R548" s="195" t="s">
        <v>7</v>
      </c>
      <c r="S548" s="226">
        <v>0.2</v>
      </c>
      <c r="T548" s="226">
        <v>2.2000000000000002</v>
      </c>
      <c r="U548" s="226">
        <v>0.2</v>
      </c>
      <c r="V548" s="226">
        <v>0.2</v>
      </c>
      <c r="W548" s="226">
        <v>0.2</v>
      </c>
      <c r="X548" s="226">
        <v>0.2</v>
      </c>
      <c r="Y548" s="226">
        <v>0.2</v>
      </c>
      <c r="Z548" s="226">
        <v>0.2</v>
      </c>
      <c r="AA548" s="226">
        <v>0.2</v>
      </c>
      <c r="AC548" s="195" t="s">
        <v>7</v>
      </c>
      <c r="AD548" s="69">
        <f t="shared" si="657"/>
        <v>102864.77600000001</v>
      </c>
      <c r="AE548" s="69">
        <f t="shared" si="657"/>
        <v>1161463.6440000001</v>
      </c>
      <c r="AF548" s="69">
        <f t="shared" si="657"/>
        <v>107905.25600000001</v>
      </c>
      <c r="AG548" s="69">
        <f t="shared" si="657"/>
        <v>111558.97200000001</v>
      </c>
      <c r="AH548" s="69">
        <f t="shared" si="657"/>
        <v>114343.25600000001</v>
      </c>
      <c r="AI548" s="69">
        <f t="shared" si="657"/>
        <v>116543.584</v>
      </c>
      <c r="AJ548" s="69">
        <f t="shared" si="657"/>
        <v>119203.98</v>
      </c>
      <c r="AK548" s="69">
        <f t="shared" si="658"/>
        <v>121842.17200000001</v>
      </c>
      <c r="AL548" s="69">
        <f t="shared" si="659"/>
        <v>124628.88</v>
      </c>
      <c r="AN548" s="195" t="s">
        <v>7</v>
      </c>
      <c r="AO548" s="98">
        <f t="shared" ref="AO548:AW548" si="681">H548/H548</f>
        <v>1</v>
      </c>
      <c r="AP548" s="98">
        <f t="shared" si="681"/>
        <v>1</v>
      </c>
      <c r="AQ548" s="98">
        <f t="shared" si="681"/>
        <v>1</v>
      </c>
      <c r="AR548" s="98">
        <f t="shared" si="681"/>
        <v>1</v>
      </c>
      <c r="AS548" s="98">
        <f t="shared" si="681"/>
        <v>1</v>
      </c>
      <c r="AT548" s="98">
        <f t="shared" si="681"/>
        <v>1</v>
      </c>
      <c r="AU548" s="98">
        <f t="shared" si="681"/>
        <v>1</v>
      </c>
      <c r="AV548" s="98">
        <f t="shared" si="681"/>
        <v>1</v>
      </c>
      <c r="AW548" s="98">
        <f t="shared" si="681"/>
        <v>1</v>
      </c>
      <c r="AX548" s="199"/>
      <c r="AY548" s="195" t="s">
        <v>7</v>
      </c>
      <c r="AZ548" s="178">
        <f t="shared" si="644"/>
        <v>4.0000000000000001E-3</v>
      </c>
      <c r="BA548" s="178">
        <f t="shared" si="645"/>
        <v>4.4000000000000004E-2</v>
      </c>
      <c r="BB548" s="178">
        <f t="shared" si="646"/>
        <v>4.0000000000000001E-3</v>
      </c>
      <c r="BC548" s="178">
        <f t="shared" si="647"/>
        <v>4.0000000000000001E-3</v>
      </c>
      <c r="BD548" s="178">
        <f t="shared" si="648"/>
        <v>4.0000000000000001E-3</v>
      </c>
      <c r="BE548" s="178">
        <f t="shared" si="649"/>
        <v>4.0000000000000001E-3</v>
      </c>
      <c r="BF548" s="178">
        <f t="shared" si="650"/>
        <v>4.0000000000000001E-3</v>
      </c>
      <c r="BG548" s="178">
        <f t="shared" si="651"/>
        <v>4.0000000000000001E-3</v>
      </c>
      <c r="BH548" s="178">
        <f t="shared" si="652"/>
        <v>4.0000000000000001E-3</v>
      </c>
      <c r="BI548" s="199"/>
      <c r="BJ548" s="199"/>
      <c r="BK548" s="199"/>
      <c r="BL548" s="199"/>
      <c r="BM548" s="199"/>
      <c r="BN548" s="199"/>
      <c r="BO548" s="199"/>
      <c r="BP548" s="199"/>
    </row>
    <row r="549" spans="2:68" x14ac:dyDescent="0.25">
      <c r="C549" s="108"/>
      <c r="D549" s="108"/>
      <c r="E549" s="109" t="s">
        <v>46</v>
      </c>
      <c r="F549" s="110" t="s">
        <v>132</v>
      </c>
      <c r="G549" s="111" t="s">
        <v>54</v>
      </c>
      <c r="H549" s="112">
        <v>6677456</v>
      </c>
      <c r="I549" s="112">
        <v>6081368</v>
      </c>
      <c r="J549" s="112">
        <v>5874587</v>
      </c>
      <c r="K549" s="112">
        <v>6063013</v>
      </c>
      <c r="L549" s="112">
        <v>5846845</v>
      </c>
      <c r="M549" s="112">
        <v>5847486</v>
      </c>
      <c r="N549" s="112">
        <v>5567988</v>
      </c>
      <c r="O549" s="112">
        <v>5285202</v>
      </c>
      <c r="P549" s="112">
        <v>4999656</v>
      </c>
      <c r="R549" s="111" t="s">
        <v>54</v>
      </c>
      <c r="S549" s="220">
        <v>0.8</v>
      </c>
      <c r="T549" s="220">
        <v>0.8</v>
      </c>
      <c r="U549" s="220">
        <v>0.9</v>
      </c>
      <c r="V549" s="220">
        <v>0.9</v>
      </c>
      <c r="W549" s="220">
        <v>1.1000000000000001</v>
      </c>
      <c r="X549" s="220">
        <v>1.2</v>
      </c>
      <c r="Y549" s="220">
        <v>1.2</v>
      </c>
      <c r="Z549" s="220">
        <v>1.2</v>
      </c>
      <c r="AA549" s="220">
        <v>1.3</v>
      </c>
      <c r="AC549" s="111" t="s">
        <v>54</v>
      </c>
      <c r="AD549" s="112">
        <f t="shared" ref="AD549:AJ562" si="682">2*(H549*S549/100)</f>
        <v>106839.29600000002</v>
      </c>
      <c r="AE549" s="112">
        <f t="shared" si="682"/>
        <v>97301.888000000006</v>
      </c>
      <c r="AF549" s="112">
        <f t="shared" si="682"/>
        <v>105742.56599999999</v>
      </c>
      <c r="AG549" s="112">
        <f t="shared" si="682"/>
        <v>109134.234</v>
      </c>
      <c r="AH549" s="112">
        <f t="shared" si="682"/>
        <v>128630.59000000003</v>
      </c>
      <c r="AI549" s="112">
        <f t="shared" si="682"/>
        <v>140339.66399999999</v>
      </c>
      <c r="AJ549" s="112">
        <f t="shared" si="682"/>
        <v>133631.712</v>
      </c>
      <c r="AK549" s="112">
        <f t="shared" si="658"/>
        <v>126844.84799999998</v>
      </c>
      <c r="AL549" s="112">
        <f t="shared" si="659"/>
        <v>129991.056</v>
      </c>
      <c r="AN549" s="111" t="s">
        <v>54</v>
      </c>
      <c r="AO549" s="113">
        <f t="shared" ref="AO549:AW549" si="683">H549/H548</f>
        <v>0.25965957481888652</v>
      </c>
      <c r="AP549" s="113">
        <f t="shared" si="683"/>
        <v>0.23038189217741886</v>
      </c>
      <c r="AQ549" s="113">
        <f t="shared" si="683"/>
        <v>0.21776833558506176</v>
      </c>
      <c r="AR549" s="113">
        <f t="shared" si="683"/>
        <v>0.21739221476511991</v>
      </c>
      <c r="AS549" s="113">
        <f t="shared" si="683"/>
        <v>0.20453659287085546</v>
      </c>
      <c r="AT549" s="113">
        <f t="shared" si="683"/>
        <v>0.20069696844057927</v>
      </c>
      <c r="AU549" s="113">
        <f t="shared" si="683"/>
        <v>0.18683899648317112</v>
      </c>
      <c r="AV549" s="113">
        <f t="shared" si="683"/>
        <v>0.17350977623740982</v>
      </c>
      <c r="AW549" s="113">
        <f t="shared" si="683"/>
        <v>0.16046540737588269</v>
      </c>
      <c r="AY549" s="111" t="s">
        <v>54</v>
      </c>
      <c r="AZ549" s="179">
        <f t="shared" si="644"/>
        <v>4.1545531971021845E-3</v>
      </c>
      <c r="BA549" s="179">
        <f t="shared" si="645"/>
        <v>3.686110274838702E-3</v>
      </c>
      <c r="BB549" s="179">
        <f t="shared" si="646"/>
        <v>3.9198300405311115E-3</v>
      </c>
      <c r="BC549" s="179">
        <f t="shared" si="647"/>
        <v>3.9130598657721579E-3</v>
      </c>
      <c r="BD549" s="179">
        <f t="shared" si="648"/>
        <v>4.4998050431588202E-3</v>
      </c>
      <c r="BE549" s="179">
        <f t="shared" si="649"/>
        <v>4.8167272425739018E-3</v>
      </c>
      <c r="BF549" s="179">
        <f t="shared" si="650"/>
        <v>4.4841359155961069E-3</v>
      </c>
      <c r="BG549" s="179">
        <f t="shared" si="651"/>
        <v>4.1642346296978357E-3</v>
      </c>
      <c r="BH549" s="179">
        <f t="shared" si="652"/>
        <v>4.1721005917729507E-3</v>
      </c>
    </row>
    <row r="550" spans="2:68" x14ac:dyDescent="0.25">
      <c r="C550" s="108"/>
      <c r="D550" s="108"/>
      <c r="E550" s="109" t="s">
        <v>46</v>
      </c>
      <c r="F550" s="110" t="s">
        <v>132</v>
      </c>
      <c r="G550" s="111" t="s">
        <v>55</v>
      </c>
      <c r="H550" s="70">
        <v>6360730</v>
      </c>
      <c r="I550" s="70">
        <v>6932027</v>
      </c>
      <c r="J550" s="70">
        <v>6984038</v>
      </c>
      <c r="K550" s="70">
        <v>7129705</v>
      </c>
      <c r="L550" s="70">
        <v>7144842</v>
      </c>
      <c r="M550" s="70">
        <v>7270951</v>
      </c>
      <c r="N550" s="70">
        <v>7414613</v>
      </c>
      <c r="O550" s="112">
        <v>7531034</v>
      </c>
      <c r="P550" s="112">
        <v>7574058</v>
      </c>
      <c r="R550" s="111" t="s">
        <v>55</v>
      </c>
      <c r="S550" s="81">
        <v>0.8</v>
      </c>
      <c r="T550" s="81">
        <v>0.8</v>
      </c>
      <c r="U550" s="81">
        <v>0.8</v>
      </c>
      <c r="V550" s="81">
        <v>0.8</v>
      </c>
      <c r="W550" s="81">
        <v>0.8</v>
      </c>
      <c r="X550" s="81">
        <v>0.9</v>
      </c>
      <c r="Y550" s="81">
        <v>0.9</v>
      </c>
      <c r="Z550" s="81">
        <v>1</v>
      </c>
      <c r="AA550" s="81">
        <v>1</v>
      </c>
      <c r="AC550" s="111" t="s">
        <v>55</v>
      </c>
      <c r="AD550" s="70">
        <f t="shared" si="682"/>
        <v>101771.68</v>
      </c>
      <c r="AE550" s="70">
        <f t="shared" si="682"/>
        <v>110912.43200000002</v>
      </c>
      <c r="AF550" s="70">
        <f t="shared" si="682"/>
        <v>111744.60800000001</v>
      </c>
      <c r="AG550" s="70">
        <f t="shared" si="682"/>
        <v>114075.28</v>
      </c>
      <c r="AH550" s="70">
        <f t="shared" si="682"/>
        <v>114317.47200000001</v>
      </c>
      <c r="AI550" s="70">
        <f t="shared" si="682"/>
        <v>130877.118</v>
      </c>
      <c r="AJ550" s="70">
        <f t="shared" si="682"/>
        <v>133463.03400000001</v>
      </c>
      <c r="AK550" s="70">
        <f t="shared" si="658"/>
        <v>150620.68</v>
      </c>
      <c r="AL550" s="70">
        <f t="shared" si="659"/>
        <v>151481.16</v>
      </c>
      <c r="AN550" s="111" t="s">
        <v>55</v>
      </c>
      <c r="AO550" s="113">
        <f t="shared" ref="AO550:AW550" si="684">H550/H548</f>
        <v>0.24734336659616116</v>
      </c>
      <c r="AP550" s="113">
        <f t="shared" si="684"/>
        <v>0.26260760685506229</v>
      </c>
      <c r="AQ550" s="113">
        <f t="shared" si="684"/>
        <v>0.25889519227867824</v>
      </c>
      <c r="AR550" s="113">
        <f t="shared" si="684"/>
        <v>0.25563896375810991</v>
      </c>
      <c r="AS550" s="113">
        <f t="shared" si="684"/>
        <v>0.24994362588380376</v>
      </c>
      <c r="AT550" s="113">
        <f t="shared" si="684"/>
        <v>0.249553025587406</v>
      </c>
      <c r="AU550" s="113">
        <f t="shared" si="684"/>
        <v>0.24880420938965292</v>
      </c>
      <c r="AV550" s="113">
        <f t="shared" si="684"/>
        <v>0.24723899373691402</v>
      </c>
      <c r="AW550" s="113">
        <f t="shared" si="684"/>
        <v>0.24309158519277393</v>
      </c>
      <c r="AY550" s="111" t="s">
        <v>55</v>
      </c>
      <c r="AZ550" s="179">
        <f t="shared" si="644"/>
        <v>3.9574938655385786E-3</v>
      </c>
      <c r="BA550" s="179">
        <f t="shared" si="645"/>
        <v>4.2017217096809965E-3</v>
      </c>
      <c r="BB550" s="179">
        <f t="shared" si="646"/>
        <v>4.1423230764588521E-3</v>
      </c>
      <c r="BC550" s="179">
        <f t="shared" si="647"/>
        <v>4.0902234201297587E-3</v>
      </c>
      <c r="BD550" s="179">
        <f t="shared" si="648"/>
        <v>3.9990980141408608E-3</v>
      </c>
      <c r="BE550" s="179">
        <f t="shared" si="649"/>
        <v>4.4919544605733081E-3</v>
      </c>
      <c r="BF550" s="179">
        <f t="shared" si="650"/>
        <v>4.4784757690137528E-3</v>
      </c>
      <c r="BG550" s="179">
        <f t="shared" si="651"/>
        <v>4.9447798747382808E-3</v>
      </c>
      <c r="BH550" s="179">
        <f t="shared" si="652"/>
        <v>4.8618317038554787E-3</v>
      </c>
    </row>
    <row r="551" spans="2:68" x14ac:dyDescent="0.25">
      <c r="C551" s="108"/>
      <c r="D551" s="108"/>
      <c r="E551" s="109" t="s">
        <v>46</v>
      </c>
      <c r="F551" s="110" t="s">
        <v>132</v>
      </c>
      <c r="G551" s="111" t="s">
        <v>130</v>
      </c>
      <c r="H551" s="70">
        <v>3092298</v>
      </c>
      <c r="I551" s="70">
        <v>3472052</v>
      </c>
      <c r="J551" s="70">
        <v>3426345</v>
      </c>
      <c r="K551" s="70">
        <v>3206187</v>
      </c>
      <c r="L551" s="70">
        <v>3415664</v>
      </c>
      <c r="M551" s="70">
        <v>3571684</v>
      </c>
      <c r="N551" s="70">
        <v>3723881</v>
      </c>
      <c r="O551" s="112">
        <v>3905596</v>
      </c>
      <c r="P551" s="112">
        <v>3962455</v>
      </c>
      <c r="R551" s="111" t="s">
        <v>130</v>
      </c>
      <c r="S551" s="220">
        <v>1.1000000000000001</v>
      </c>
      <c r="T551" s="220">
        <v>1.2</v>
      </c>
      <c r="U551" s="220">
        <v>1.2</v>
      </c>
      <c r="V551" s="220">
        <v>1.3</v>
      </c>
      <c r="W551" s="220">
        <v>1.4</v>
      </c>
      <c r="X551" s="220">
        <v>1.5</v>
      </c>
      <c r="Y551" s="220">
        <v>1.6</v>
      </c>
      <c r="Z551" s="220">
        <v>1.6</v>
      </c>
      <c r="AA551" s="220">
        <v>1.6</v>
      </c>
      <c r="AC551" s="111" t="s">
        <v>130</v>
      </c>
      <c r="AD551" s="70">
        <f t="shared" si="682"/>
        <v>68030.556000000011</v>
      </c>
      <c r="AE551" s="70">
        <f t="shared" si="682"/>
        <v>83329.247999999992</v>
      </c>
      <c r="AF551" s="70">
        <f t="shared" si="682"/>
        <v>82232.28</v>
      </c>
      <c r="AG551" s="70">
        <f t="shared" si="682"/>
        <v>83360.862000000008</v>
      </c>
      <c r="AH551" s="70">
        <f t="shared" si="682"/>
        <v>95638.59199999999</v>
      </c>
      <c r="AI551" s="70">
        <f t="shared" si="682"/>
        <v>107150.52</v>
      </c>
      <c r="AJ551" s="70">
        <f t="shared" si="682"/>
        <v>119164.19200000001</v>
      </c>
      <c r="AK551" s="70">
        <f t="shared" si="658"/>
        <v>124979.07200000001</v>
      </c>
      <c r="AL551" s="70">
        <f t="shared" si="659"/>
        <v>126798.56</v>
      </c>
      <c r="AN551" s="111" t="s">
        <v>130</v>
      </c>
      <c r="AO551" s="113">
        <f t="shared" ref="AO551:AW551" si="685">H551/H548</f>
        <v>0.12024710966171744</v>
      </c>
      <c r="AP551" s="113">
        <f t="shared" si="685"/>
        <v>0.13153256134119684</v>
      </c>
      <c r="AQ551" s="113">
        <f t="shared" si="685"/>
        <v>0.12701309007598297</v>
      </c>
      <c r="AR551" s="113">
        <f t="shared" si="685"/>
        <v>0.11495935979044339</v>
      </c>
      <c r="AS551" s="113">
        <f t="shared" si="685"/>
        <v>0.11948807894713091</v>
      </c>
      <c r="AT551" s="113">
        <f t="shared" si="685"/>
        <v>0.12258706579677522</v>
      </c>
      <c r="AU551" s="113">
        <f t="shared" si="685"/>
        <v>0.12495827739979823</v>
      </c>
      <c r="AV551" s="113">
        <f t="shared" si="685"/>
        <v>0.1282182001811327</v>
      </c>
      <c r="AW551" s="113">
        <f t="shared" si="685"/>
        <v>0.12717614087521287</v>
      </c>
      <c r="AY551" s="111" t="s">
        <v>130</v>
      </c>
      <c r="AZ551" s="179">
        <f t="shared" si="644"/>
        <v>2.6454364125577841E-3</v>
      </c>
      <c r="BA551" s="179">
        <f t="shared" si="645"/>
        <v>3.1567814721887239E-3</v>
      </c>
      <c r="BB551" s="179">
        <f t="shared" si="646"/>
        <v>3.0483141618235909E-3</v>
      </c>
      <c r="BC551" s="179">
        <f t="shared" si="647"/>
        <v>2.9889433545515283E-3</v>
      </c>
      <c r="BD551" s="179">
        <f t="shared" si="648"/>
        <v>3.3456662105196657E-3</v>
      </c>
      <c r="BE551" s="179">
        <f t="shared" si="649"/>
        <v>3.6776119739032566E-3</v>
      </c>
      <c r="BF551" s="179">
        <f t="shared" si="650"/>
        <v>3.998664876793543E-3</v>
      </c>
      <c r="BG551" s="179">
        <f t="shared" si="651"/>
        <v>4.1029824057962462E-3</v>
      </c>
      <c r="BH551" s="179">
        <f t="shared" si="652"/>
        <v>4.0696365080068117E-3</v>
      </c>
    </row>
    <row r="552" spans="2:68" x14ac:dyDescent="0.25">
      <c r="C552" s="108"/>
      <c r="D552" s="108"/>
      <c r="E552" s="109" t="s">
        <v>46</v>
      </c>
      <c r="F552" s="110" t="s">
        <v>132</v>
      </c>
      <c r="G552" s="111" t="s">
        <v>131</v>
      </c>
      <c r="H552" s="112">
        <v>9583007</v>
      </c>
      <c r="I552" s="112">
        <v>9906337</v>
      </c>
      <c r="J552" s="112">
        <v>10681255</v>
      </c>
      <c r="K552" s="112">
        <v>11482773</v>
      </c>
      <c r="L552" s="112">
        <v>12181479</v>
      </c>
      <c r="M552" s="112">
        <v>12449032</v>
      </c>
      <c r="N552" s="112">
        <v>13099104</v>
      </c>
      <c r="O552" s="112">
        <v>13738711</v>
      </c>
      <c r="P552" s="112">
        <v>14621051</v>
      </c>
      <c r="R552" s="111" t="s">
        <v>131</v>
      </c>
      <c r="S552" s="220">
        <v>0.6</v>
      </c>
      <c r="T552" s="220">
        <v>0.6</v>
      </c>
      <c r="U552" s="220">
        <v>0.6</v>
      </c>
      <c r="V552" s="220">
        <v>0.6</v>
      </c>
      <c r="W552" s="220">
        <v>0.7</v>
      </c>
      <c r="X552" s="220">
        <v>0.7</v>
      </c>
      <c r="Y552" s="220">
        <v>0.6</v>
      </c>
      <c r="Z552" s="220">
        <v>0.6</v>
      </c>
      <c r="AA552" s="220">
        <v>0.6</v>
      </c>
      <c r="AC552" s="111" t="s">
        <v>131</v>
      </c>
      <c r="AD552" s="112">
        <f t="shared" si="682"/>
        <v>114996.084</v>
      </c>
      <c r="AE552" s="112">
        <f t="shared" si="682"/>
        <v>118876.04400000001</v>
      </c>
      <c r="AF552" s="112">
        <f t="shared" si="682"/>
        <v>128175.06</v>
      </c>
      <c r="AG552" s="112">
        <f t="shared" si="682"/>
        <v>137793.27599999998</v>
      </c>
      <c r="AH552" s="112">
        <f t="shared" si="682"/>
        <v>170540.70599999998</v>
      </c>
      <c r="AI552" s="112">
        <f t="shared" si="682"/>
        <v>174286.448</v>
      </c>
      <c r="AJ552" s="112">
        <f t="shared" si="682"/>
        <v>157189.24799999999</v>
      </c>
      <c r="AK552" s="112">
        <f t="shared" si="658"/>
        <v>164864.53200000001</v>
      </c>
      <c r="AL552" s="112">
        <f t="shared" si="659"/>
        <v>175452.61199999999</v>
      </c>
      <c r="AN552" s="111" t="s">
        <v>131</v>
      </c>
      <c r="AO552" s="113">
        <f t="shared" ref="AO552:AW552" si="686">H552/H548</f>
        <v>0.37264484005681403</v>
      </c>
      <c r="AP552" s="113">
        <f t="shared" si="686"/>
        <v>0.3752840911135743</v>
      </c>
      <c r="AQ552" s="113">
        <f t="shared" si="686"/>
        <v>0.39594938730324686</v>
      </c>
      <c r="AR552" s="113">
        <f t="shared" si="686"/>
        <v>0.41172028727550486</v>
      </c>
      <c r="AS552" s="113">
        <f t="shared" si="686"/>
        <v>0.42613720917655168</v>
      </c>
      <c r="AT552" s="113">
        <f t="shared" si="686"/>
        <v>0.42727472668079264</v>
      </c>
      <c r="AU552" s="113">
        <f t="shared" si="686"/>
        <v>0.4395525719862709</v>
      </c>
      <c r="AV552" s="113">
        <f t="shared" si="686"/>
        <v>0.45103302984454346</v>
      </c>
      <c r="AW552" s="113">
        <f t="shared" si="686"/>
        <v>0.46926686655613048</v>
      </c>
      <c r="AY552" s="111" t="s">
        <v>131</v>
      </c>
      <c r="AZ552" s="179">
        <f t="shared" si="644"/>
        <v>4.471738080681768E-3</v>
      </c>
      <c r="BA552" s="179">
        <f t="shared" si="645"/>
        <v>4.5034090933628911E-3</v>
      </c>
      <c r="BB552" s="179">
        <f t="shared" si="646"/>
        <v>4.7513926476389625E-3</v>
      </c>
      <c r="BC552" s="179">
        <f t="shared" si="647"/>
        <v>4.9406434473060583E-3</v>
      </c>
      <c r="BD552" s="179">
        <f t="shared" si="648"/>
        <v>5.9659209284717227E-3</v>
      </c>
      <c r="BE552" s="179">
        <f t="shared" si="649"/>
        <v>5.9818461735310965E-3</v>
      </c>
      <c r="BF552" s="179">
        <f t="shared" si="650"/>
        <v>5.2746308638352505E-3</v>
      </c>
      <c r="BG552" s="179">
        <f t="shared" si="651"/>
        <v>5.412396358134521E-3</v>
      </c>
      <c r="BH552" s="179">
        <f t="shared" si="652"/>
        <v>5.6312023986735656E-3</v>
      </c>
    </row>
    <row r="553" spans="2:68" s="173" customFormat="1" x14ac:dyDescent="0.25">
      <c r="B553" s="172"/>
      <c r="C553" s="85"/>
      <c r="D553" s="85"/>
      <c r="E553" s="206" t="s">
        <v>4</v>
      </c>
      <c r="F553" s="207" t="s">
        <v>132</v>
      </c>
      <c r="G553" s="195" t="s">
        <v>7</v>
      </c>
      <c r="H553" s="274">
        <v>12649340</v>
      </c>
      <c r="I553" s="274">
        <v>13002177</v>
      </c>
      <c r="J553" s="274">
        <v>13296677</v>
      </c>
      <c r="K553" s="274">
        <v>13746699</v>
      </c>
      <c r="L553" s="274">
        <v>14098909</v>
      </c>
      <c r="M553" s="274">
        <v>14373626</v>
      </c>
      <c r="N553" s="274">
        <v>14714457</v>
      </c>
      <c r="O553" s="69">
        <v>15024556</v>
      </c>
      <c r="P553" s="69">
        <v>15373539</v>
      </c>
      <c r="R553" s="195" t="s">
        <v>7</v>
      </c>
      <c r="S553" s="226">
        <v>0.2</v>
      </c>
      <c r="T553" s="226">
        <v>0.2</v>
      </c>
      <c r="U553" s="226">
        <v>0.2</v>
      </c>
      <c r="V553" s="226">
        <v>0.2</v>
      </c>
      <c r="W553" s="226">
        <v>0.2</v>
      </c>
      <c r="X553" s="226">
        <v>0.2</v>
      </c>
      <c r="Y553" s="226">
        <v>0.3</v>
      </c>
      <c r="Z553" s="226">
        <v>0.2</v>
      </c>
      <c r="AA553" s="226">
        <v>0.2</v>
      </c>
      <c r="AC553" s="195" t="s">
        <v>7</v>
      </c>
      <c r="AD553" s="69">
        <f t="shared" si="682"/>
        <v>50597.36</v>
      </c>
      <c r="AE553" s="69">
        <f t="shared" si="682"/>
        <v>52008.708000000006</v>
      </c>
      <c r="AF553" s="69">
        <f t="shared" si="682"/>
        <v>53186.708000000006</v>
      </c>
      <c r="AG553" s="69">
        <f t="shared" si="682"/>
        <v>54986.796000000002</v>
      </c>
      <c r="AH553" s="69">
        <f t="shared" si="682"/>
        <v>56395.636000000006</v>
      </c>
      <c r="AI553" s="69">
        <f t="shared" si="682"/>
        <v>57494.504000000001</v>
      </c>
      <c r="AJ553" s="69">
        <f t="shared" si="682"/>
        <v>88286.741999999998</v>
      </c>
      <c r="AK553" s="69">
        <f t="shared" si="658"/>
        <v>60098.224000000002</v>
      </c>
      <c r="AL553" s="69">
        <f t="shared" si="659"/>
        <v>61494.156000000003</v>
      </c>
      <c r="AN553" s="195" t="s">
        <v>7</v>
      </c>
      <c r="AO553" s="98">
        <f t="shared" ref="AO553:AW553" si="687">H553/H553</f>
        <v>1</v>
      </c>
      <c r="AP553" s="98">
        <f t="shared" si="687"/>
        <v>1</v>
      </c>
      <c r="AQ553" s="98">
        <f t="shared" si="687"/>
        <v>1</v>
      </c>
      <c r="AR553" s="98">
        <f t="shared" si="687"/>
        <v>1</v>
      </c>
      <c r="AS553" s="98">
        <f t="shared" si="687"/>
        <v>1</v>
      </c>
      <c r="AT553" s="98">
        <f t="shared" si="687"/>
        <v>1</v>
      </c>
      <c r="AU553" s="98">
        <f t="shared" si="687"/>
        <v>1</v>
      </c>
      <c r="AV553" s="98">
        <f t="shared" si="687"/>
        <v>1</v>
      </c>
      <c r="AW553" s="98">
        <f t="shared" si="687"/>
        <v>1</v>
      </c>
      <c r="AX553" s="199"/>
      <c r="AY553" s="195" t="s">
        <v>7</v>
      </c>
      <c r="AZ553" s="178">
        <f t="shared" si="644"/>
        <v>4.0000000000000001E-3</v>
      </c>
      <c r="BA553" s="178">
        <f t="shared" si="645"/>
        <v>4.0000000000000001E-3</v>
      </c>
      <c r="BB553" s="178">
        <f t="shared" si="646"/>
        <v>4.0000000000000001E-3</v>
      </c>
      <c r="BC553" s="178">
        <f t="shared" si="647"/>
        <v>4.0000000000000001E-3</v>
      </c>
      <c r="BD553" s="178">
        <f t="shared" si="648"/>
        <v>4.0000000000000001E-3</v>
      </c>
      <c r="BE553" s="178">
        <f t="shared" si="649"/>
        <v>4.0000000000000001E-3</v>
      </c>
      <c r="BF553" s="178">
        <f t="shared" si="650"/>
        <v>6.0000000000000001E-3</v>
      </c>
      <c r="BG553" s="178">
        <f t="shared" si="651"/>
        <v>4.0000000000000001E-3</v>
      </c>
      <c r="BH553" s="178">
        <f t="shared" si="652"/>
        <v>4.0000000000000001E-3</v>
      </c>
      <c r="BI553" s="199"/>
      <c r="BJ553" s="199"/>
      <c r="BK553" s="199"/>
      <c r="BL553" s="199"/>
      <c r="BM553" s="199"/>
      <c r="BN553" s="199"/>
      <c r="BO553" s="199"/>
      <c r="BP553" s="199"/>
    </row>
    <row r="554" spans="2:68" x14ac:dyDescent="0.25">
      <c r="C554" s="108"/>
      <c r="D554" s="108"/>
      <c r="E554" s="109" t="s">
        <v>4</v>
      </c>
      <c r="F554" s="110" t="s">
        <v>132</v>
      </c>
      <c r="G554" s="111" t="s">
        <v>54</v>
      </c>
      <c r="H554" s="112">
        <v>3562712</v>
      </c>
      <c r="I554" s="112">
        <v>3267021</v>
      </c>
      <c r="J554" s="112">
        <v>3156097</v>
      </c>
      <c r="K554" s="112">
        <v>3375406</v>
      </c>
      <c r="L554" s="112">
        <v>3300641</v>
      </c>
      <c r="M554" s="112">
        <v>3261531</v>
      </c>
      <c r="N554" s="112">
        <v>3202645</v>
      </c>
      <c r="O554" s="112">
        <v>2997494</v>
      </c>
      <c r="P554" s="112">
        <v>2908060</v>
      </c>
      <c r="R554" s="111" t="s">
        <v>54</v>
      </c>
      <c r="S554" s="220">
        <v>1.1000000000000001</v>
      </c>
      <c r="T554" s="220">
        <v>1.2</v>
      </c>
      <c r="U554" s="220">
        <v>1.2</v>
      </c>
      <c r="V554" s="220">
        <v>1.3</v>
      </c>
      <c r="W554" s="220">
        <v>1.4</v>
      </c>
      <c r="X554" s="220">
        <v>1.5</v>
      </c>
      <c r="Y554" s="220">
        <v>1.3</v>
      </c>
      <c r="Z554" s="220">
        <v>2</v>
      </c>
      <c r="AA554" s="220">
        <v>1.9</v>
      </c>
      <c r="AC554" s="111" t="s">
        <v>54</v>
      </c>
      <c r="AD554" s="112">
        <f t="shared" si="682"/>
        <v>78379.664000000004</v>
      </c>
      <c r="AE554" s="112">
        <f t="shared" si="682"/>
        <v>78408.504000000001</v>
      </c>
      <c r="AF554" s="112">
        <f t="shared" si="682"/>
        <v>75746.327999999994</v>
      </c>
      <c r="AG554" s="112">
        <f t="shared" si="682"/>
        <v>87760.555999999997</v>
      </c>
      <c r="AH554" s="112">
        <f t="shared" si="682"/>
        <v>92417.947999999989</v>
      </c>
      <c r="AI554" s="112">
        <f t="shared" si="682"/>
        <v>97845.93</v>
      </c>
      <c r="AJ554" s="112">
        <f t="shared" si="682"/>
        <v>83268.77</v>
      </c>
      <c r="AK554" s="112">
        <f t="shared" si="658"/>
        <v>119899.76</v>
      </c>
      <c r="AL554" s="112">
        <f t="shared" si="659"/>
        <v>110506.28</v>
      </c>
      <c r="AN554" s="111" t="s">
        <v>54</v>
      </c>
      <c r="AO554" s="113">
        <f t="shared" ref="AO554:AW554" si="688">H554/H553</f>
        <v>0.28165200714029348</v>
      </c>
      <c r="AP554" s="113">
        <f t="shared" si="688"/>
        <v>0.25126723009539093</v>
      </c>
      <c r="AQ554" s="113">
        <f t="shared" si="688"/>
        <v>0.23735983058022692</v>
      </c>
      <c r="AR554" s="113">
        <f t="shared" si="688"/>
        <v>0.24554302090996535</v>
      </c>
      <c r="AS554" s="113">
        <f t="shared" si="688"/>
        <v>0.23410612835361941</v>
      </c>
      <c r="AT554" s="113">
        <f t="shared" si="688"/>
        <v>0.22691080176985265</v>
      </c>
      <c r="AU554" s="113">
        <f t="shared" si="688"/>
        <v>0.21765295178748356</v>
      </c>
      <c r="AV554" s="113">
        <f t="shared" si="688"/>
        <v>0.19950632817369113</v>
      </c>
      <c r="AW554" s="113">
        <f t="shared" si="688"/>
        <v>0.18916008864322001</v>
      </c>
      <c r="AY554" s="111" t="s">
        <v>54</v>
      </c>
      <c r="AZ554" s="179">
        <f t="shared" si="644"/>
        <v>6.1963441570864579E-3</v>
      </c>
      <c r="BA554" s="179">
        <f t="shared" si="645"/>
        <v>6.030413522289382E-3</v>
      </c>
      <c r="BB554" s="179">
        <f t="shared" si="646"/>
        <v>5.6966359339254459E-3</v>
      </c>
      <c r="BC554" s="179">
        <f t="shared" si="647"/>
        <v>6.3841185436590998E-3</v>
      </c>
      <c r="BD554" s="179">
        <f t="shared" si="648"/>
        <v>6.5549715939013427E-3</v>
      </c>
      <c r="BE554" s="179">
        <f t="shared" si="649"/>
        <v>6.8073240530955792E-3</v>
      </c>
      <c r="BF554" s="179">
        <f t="shared" si="650"/>
        <v>5.6589767464745736E-3</v>
      </c>
      <c r="BG554" s="179">
        <f t="shared" si="651"/>
        <v>7.9802531269476448E-3</v>
      </c>
      <c r="BH554" s="179">
        <f t="shared" si="652"/>
        <v>7.1880833684423596E-3</v>
      </c>
    </row>
    <row r="555" spans="2:68" x14ac:dyDescent="0.25">
      <c r="C555" s="108"/>
      <c r="D555" s="108"/>
      <c r="E555" s="109" t="s">
        <v>4</v>
      </c>
      <c r="F555" s="110" t="s">
        <v>132</v>
      </c>
      <c r="G555" s="111" t="s">
        <v>55</v>
      </c>
      <c r="H555" s="70">
        <v>3512658</v>
      </c>
      <c r="I555" s="70">
        <v>3831382</v>
      </c>
      <c r="J555" s="70">
        <v>3837181</v>
      </c>
      <c r="K555" s="70">
        <v>3920308</v>
      </c>
      <c r="L555" s="70">
        <v>3857259</v>
      </c>
      <c r="M555" s="70">
        <v>3978421</v>
      </c>
      <c r="N555" s="70">
        <v>4039452</v>
      </c>
      <c r="O555" s="112">
        <v>4090576</v>
      </c>
      <c r="P555" s="112">
        <v>4158486</v>
      </c>
      <c r="R555" s="111" t="s">
        <v>55</v>
      </c>
      <c r="S555" s="81">
        <v>1.1000000000000001</v>
      </c>
      <c r="T555" s="81">
        <v>1.2</v>
      </c>
      <c r="U555" s="81">
        <v>1.2</v>
      </c>
      <c r="V555" s="81">
        <v>1.3</v>
      </c>
      <c r="W555" s="81">
        <v>1.4</v>
      </c>
      <c r="X555" s="81">
        <v>1.5</v>
      </c>
      <c r="Y555" s="81">
        <v>1.2</v>
      </c>
      <c r="Z555" s="81">
        <v>1.3</v>
      </c>
      <c r="AA555" s="81">
        <v>1.2</v>
      </c>
      <c r="AC555" s="111" t="s">
        <v>55</v>
      </c>
      <c r="AD555" s="70">
        <f t="shared" si="682"/>
        <v>77278.47600000001</v>
      </c>
      <c r="AE555" s="70">
        <f t="shared" si="682"/>
        <v>91953.167999999991</v>
      </c>
      <c r="AF555" s="70">
        <f t="shared" si="682"/>
        <v>92092.343999999997</v>
      </c>
      <c r="AG555" s="70">
        <f t="shared" si="682"/>
        <v>101928.008</v>
      </c>
      <c r="AH555" s="70">
        <f t="shared" si="682"/>
        <v>108003.25199999999</v>
      </c>
      <c r="AI555" s="70">
        <f t="shared" si="682"/>
        <v>119352.63</v>
      </c>
      <c r="AJ555" s="70">
        <f t="shared" si="682"/>
        <v>96946.847999999984</v>
      </c>
      <c r="AK555" s="70">
        <f t="shared" si="658"/>
        <v>106354.976</v>
      </c>
      <c r="AL555" s="70">
        <f t="shared" si="659"/>
        <v>99803.664000000004</v>
      </c>
      <c r="AN555" s="111" t="s">
        <v>55</v>
      </c>
      <c r="AO555" s="113">
        <f t="shared" ref="AO555:AW555" si="689">H555/H553</f>
        <v>0.27769496274113908</v>
      </c>
      <c r="AP555" s="113">
        <f t="shared" si="689"/>
        <v>0.29467234602328518</v>
      </c>
      <c r="AQ555" s="113">
        <f t="shared" si="689"/>
        <v>0.28858195171620699</v>
      </c>
      <c r="AR555" s="113">
        <f t="shared" si="689"/>
        <v>0.28518177345703138</v>
      </c>
      <c r="AS555" s="113">
        <f t="shared" si="689"/>
        <v>0.273585637016311</v>
      </c>
      <c r="AT555" s="113">
        <f t="shared" si="689"/>
        <v>0.2767861776840444</v>
      </c>
      <c r="AU555" s="113">
        <f t="shared" si="689"/>
        <v>0.27452266842058798</v>
      </c>
      <c r="AV555" s="113">
        <f t="shared" si="689"/>
        <v>0.27225935994381467</v>
      </c>
      <c r="AW555" s="113">
        <f t="shared" si="689"/>
        <v>0.27049633789591321</v>
      </c>
      <c r="AY555" s="111" t="s">
        <v>55</v>
      </c>
      <c r="AZ555" s="179">
        <f t="shared" si="644"/>
        <v>6.1092891803050612E-3</v>
      </c>
      <c r="BA555" s="179">
        <f t="shared" si="645"/>
        <v>7.072136304558844E-3</v>
      </c>
      <c r="BB555" s="179">
        <f t="shared" si="646"/>
        <v>6.9259668411889679E-3</v>
      </c>
      <c r="BC555" s="179">
        <f t="shared" si="647"/>
        <v>7.4147261098828163E-3</v>
      </c>
      <c r="BD555" s="179">
        <f t="shared" si="648"/>
        <v>7.6603978364567071E-3</v>
      </c>
      <c r="BE555" s="179">
        <f t="shared" si="649"/>
        <v>8.303585330521333E-3</v>
      </c>
      <c r="BF555" s="179">
        <f t="shared" si="650"/>
        <v>6.5885440420941112E-3</v>
      </c>
      <c r="BG555" s="179">
        <f t="shared" si="651"/>
        <v>7.0787433585391812E-3</v>
      </c>
      <c r="BH555" s="179">
        <f t="shared" si="652"/>
        <v>6.4919121095019169E-3</v>
      </c>
    </row>
    <row r="556" spans="2:68" x14ac:dyDescent="0.25">
      <c r="C556" s="108"/>
      <c r="D556" s="108"/>
      <c r="E556" s="109" t="s">
        <v>4</v>
      </c>
      <c r="F556" s="110" t="s">
        <v>132</v>
      </c>
      <c r="G556" s="111" t="s">
        <v>130</v>
      </c>
      <c r="H556" s="70">
        <v>1509808</v>
      </c>
      <c r="I556" s="70">
        <v>1706578</v>
      </c>
      <c r="J556" s="70">
        <v>1723061</v>
      </c>
      <c r="K556" s="70">
        <v>1624958</v>
      </c>
      <c r="L556" s="70">
        <v>1742252</v>
      </c>
      <c r="M556" s="70">
        <v>1846603</v>
      </c>
      <c r="N556" s="70">
        <v>1930324</v>
      </c>
      <c r="O556" s="112">
        <v>2052707</v>
      </c>
      <c r="P556" s="112">
        <v>2074593</v>
      </c>
      <c r="R556" s="111" t="s">
        <v>130</v>
      </c>
      <c r="S556" s="220">
        <v>1.7</v>
      </c>
      <c r="T556" s="220">
        <v>1.8</v>
      </c>
      <c r="U556" s="220">
        <v>1.8</v>
      </c>
      <c r="V556" s="220">
        <v>1.9</v>
      </c>
      <c r="W556" s="220">
        <v>2.1</v>
      </c>
      <c r="X556" s="220">
        <v>2.2000000000000002</v>
      </c>
      <c r="Y556" s="220">
        <v>2.2999999999999998</v>
      </c>
      <c r="Z556" s="220">
        <v>2</v>
      </c>
      <c r="AA556" s="220">
        <v>1.9</v>
      </c>
      <c r="AC556" s="111" t="s">
        <v>130</v>
      </c>
      <c r="AD556" s="70">
        <f t="shared" si="682"/>
        <v>51333.472000000002</v>
      </c>
      <c r="AE556" s="70">
        <f t="shared" si="682"/>
        <v>61436.807999999997</v>
      </c>
      <c r="AF556" s="70">
        <f t="shared" si="682"/>
        <v>62030.196000000004</v>
      </c>
      <c r="AG556" s="70">
        <f t="shared" si="682"/>
        <v>61748.403999999995</v>
      </c>
      <c r="AH556" s="70">
        <f t="shared" si="682"/>
        <v>73174.584000000003</v>
      </c>
      <c r="AI556" s="70">
        <f t="shared" si="682"/>
        <v>81250.532000000007</v>
      </c>
      <c r="AJ556" s="70">
        <f t="shared" si="682"/>
        <v>88794.90399999998</v>
      </c>
      <c r="AK556" s="70">
        <f t="shared" si="658"/>
        <v>82108.28</v>
      </c>
      <c r="AL556" s="70">
        <f t="shared" si="659"/>
        <v>78834.534</v>
      </c>
      <c r="AN556" s="111" t="s">
        <v>130</v>
      </c>
      <c r="AO556" s="113">
        <f t="shared" ref="AO556:AW556" si="690">H556/H553</f>
        <v>0.11935863847441842</v>
      </c>
      <c r="AP556" s="113">
        <f t="shared" si="690"/>
        <v>0.13125325089790732</v>
      </c>
      <c r="AQ556" s="113">
        <f t="shared" si="690"/>
        <v>0.12958583561892945</v>
      </c>
      <c r="AR556" s="113">
        <f t="shared" si="690"/>
        <v>0.11820714194731405</v>
      </c>
      <c r="AS556" s="113">
        <f t="shared" si="690"/>
        <v>0.12357353324289135</v>
      </c>
      <c r="AT556" s="113">
        <f t="shared" si="690"/>
        <v>0.12847161878290139</v>
      </c>
      <c r="AU556" s="113">
        <f t="shared" si="690"/>
        <v>0.13118554085957776</v>
      </c>
      <c r="AV556" s="113">
        <f t="shared" si="690"/>
        <v>0.13662347160208926</v>
      </c>
      <c r="AW556" s="113">
        <f t="shared" si="690"/>
        <v>0.13494570118175131</v>
      </c>
      <c r="AY556" s="111" t="s">
        <v>130</v>
      </c>
      <c r="AZ556" s="179">
        <f t="shared" si="644"/>
        <v>4.0581937081302262E-3</v>
      </c>
      <c r="BA556" s="179">
        <f t="shared" si="645"/>
        <v>4.7251170323246638E-3</v>
      </c>
      <c r="BB556" s="179">
        <f t="shared" si="646"/>
        <v>4.6650900822814596E-3</v>
      </c>
      <c r="BC556" s="179">
        <f t="shared" si="647"/>
        <v>4.4918713939979338E-3</v>
      </c>
      <c r="BD556" s="179">
        <f t="shared" si="648"/>
        <v>5.1900883962014369E-3</v>
      </c>
      <c r="BE556" s="179">
        <f t="shared" si="649"/>
        <v>5.652751226447662E-3</v>
      </c>
      <c r="BF556" s="179">
        <f t="shared" si="650"/>
        <v>6.034534879540576E-3</v>
      </c>
      <c r="BG556" s="179">
        <f t="shared" si="651"/>
        <v>5.4649388640835702E-3</v>
      </c>
      <c r="BH556" s="179">
        <f t="shared" si="652"/>
        <v>5.1279366449065496E-3</v>
      </c>
    </row>
    <row r="557" spans="2:68" x14ac:dyDescent="0.25">
      <c r="C557" s="108"/>
      <c r="D557" s="108"/>
      <c r="E557" s="109" t="s">
        <v>4</v>
      </c>
      <c r="F557" s="110" t="s">
        <v>132</v>
      </c>
      <c r="G557" s="111" t="s">
        <v>131</v>
      </c>
      <c r="H557" s="112">
        <v>4062657</v>
      </c>
      <c r="I557" s="112">
        <v>4195446</v>
      </c>
      <c r="J557" s="112">
        <v>4577204</v>
      </c>
      <c r="K557" s="112">
        <v>4822913</v>
      </c>
      <c r="L557" s="112">
        <v>5199604</v>
      </c>
      <c r="M557" s="112">
        <v>5289789</v>
      </c>
      <c r="N557" s="112">
        <v>5545737</v>
      </c>
      <c r="O557" s="112">
        <v>5883779</v>
      </c>
      <c r="P557" s="112">
        <v>6232398</v>
      </c>
      <c r="R557" s="111" t="s">
        <v>131</v>
      </c>
      <c r="S557" s="220">
        <v>1</v>
      </c>
      <c r="T557" s="220">
        <v>1</v>
      </c>
      <c r="U557" s="220">
        <v>1</v>
      </c>
      <c r="V557" s="220">
        <v>1.1000000000000001</v>
      </c>
      <c r="W557" s="220">
        <v>1.1000000000000001</v>
      </c>
      <c r="X557" s="220">
        <v>1.2</v>
      </c>
      <c r="Y557" s="220">
        <v>0.9</v>
      </c>
      <c r="Z557" s="220">
        <v>1.2</v>
      </c>
      <c r="AA557" s="220">
        <v>0.9</v>
      </c>
      <c r="AC557" s="111" t="s">
        <v>131</v>
      </c>
      <c r="AD557" s="112">
        <f t="shared" si="682"/>
        <v>81253.14</v>
      </c>
      <c r="AE557" s="112">
        <f t="shared" si="682"/>
        <v>83908.92</v>
      </c>
      <c r="AF557" s="112">
        <f t="shared" si="682"/>
        <v>91544.08</v>
      </c>
      <c r="AG557" s="112">
        <f t="shared" si="682"/>
        <v>106104.08600000001</v>
      </c>
      <c r="AH557" s="112">
        <f t="shared" si="682"/>
        <v>114391.288</v>
      </c>
      <c r="AI557" s="112">
        <f t="shared" si="682"/>
        <v>126954.936</v>
      </c>
      <c r="AJ557" s="112">
        <f t="shared" si="682"/>
        <v>99823.266000000003</v>
      </c>
      <c r="AK557" s="112">
        <f t="shared" si="658"/>
        <v>141210.696</v>
      </c>
      <c r="AL557" s="112">
        <f t="shared" si="659"/>
        <v>112183.164</v>
      </c>
      <c r="AN557" s="111" t="s">
        <v>131</v>
      </c>
      <c r="AO557" s="113">
        <f t="shared" ref="AO557:AW557" si="691">H557/H553</f>
        <v>0.32117541310455722</v>
      </c>
      <c r="AP557" s="113">
        <f t="shared" si="691"/>
        <v>0.32267258013792616</v>
      </c>
      <c r="AQ557" s="113">
        <f t="shared" si="691"/>
        <v>0.34423668409783886</v>
      </c>
      <c r="AR557" s="113">
        <f t="shared" si="691"/>
        <v>0.35084153657543532</v>
      </c>
      <c r="AS557" s="113">
        <f t="shared" si="691"/>
        <v>0.36879477695756457</v>
      </c>
      <c r="AT557" s="113">
        <f t="shared" si="691"/>
        <v>0.36802049809839216</v>
      </c>
      <c r="AU557" s="113">
        <f t="shared" si="691"/>
        <v>0.37689036027629153</v>
      </c>
      <c r="AV557" s="113">
        <f t="shared" si="691"/>
        <v>0.39161084028040494</v>
      </c>
      <c r="AW557" s="113">
        <f t="shared" si="691"/>
        <v>0.40539774218545255</v>
      </c>
      <c r="AY557" s="111" t="s">
        <v>131</v>
      </c>
      <c r="AZ557" s="179">
        <f t="shared" si="644"/>
        <v>6.4235082620911444E-3</v>
      </c>
      <c r="BA557" s="179">
        <f t="shared" si="645"/>
        <v>6.4534516027585235E-3</v>
      </c>
      <c r="BB557" s="179">
        <f t="shared" si="646"/>
        <v>6.8847336819567772E-3</v>
      </c>
      <c r="BC557" s="179">
        <f t="shared" si="647"/>
        <v>7.7185138046595783E-3</v>
      </c>
      <c r="BD557" s="179">
        <f t="shared" si="648"/>
        <v>8.113485093066421E-3</v>
      </c>
      <c r="BE557" s="179">
        <f t="shared" si="649"/>
        <v>8.8324919543614107E-3</v>
      </c>
      <c r="BF557" s="179">
        <f t="shared" si="650"/>
        <v>6.7840264849732476E-3</v>
      </c>
      <c r="BG557" s="179">
        <f t="shared" si="651"/>
        <v>9.3986601667297182E-3</v>
      </c>
      <c r="BH557" s="179">
        <f t="shared" si="652"/>
        <v>7.2971593593381453E-3</v>
      </c>
    </row>
    <row r="558" spans="2:68" s="173" customFormat="1" x14ac:dyDescent="0.25">
      <c r="B558" s="172"/>
      <c r="C558" s="85"/>
      <c r="D558" s="85"/>
      <c r="E558" s="206" t="s">
        <v>5</v>
      </c>
      <c r="F558" s="207" t="s">
        <v>132</v>
      </c>
      <c r="G558" s="195" t="s">
        <v>7</v>
      </c>
      <c r="H558" s="274">
        <v>13066854</v>
      </c>
      <c r="I558" s="274">
        <v>13394724</v>
      </c>
      <c r="J558" s="274">
        <v>13679637</v>
      </c>
      <c r="K558" s="274">
        <v>14143044</v>
      </c>
      <c r="L558" s="274">
        <v>14486905</v>
      </c>
      <c r="M558" s="274">
        <v>14762270</v>
      </c>
      <c r="N558" s="274">
        <v>15086538</v>
      </c>
      <c r="O558" s="69">
        <v>15435987</v>
      </c>
      <c r="P558" s="69">
        <v>15783681</v>
      </c>
      <c r="R558" s="195" t="s">
        <v>7</v>
      </c>
      <c r="S558" s="226">
        <v>0.2</v>
      </c>
      <c r="T558" s="226">
        <v>2</v>
      </c>
      <c r="U558" s="226">
        <v>0.2</v>
      </c>
      <c r="V558" s="226">
        <v>0.2</v>
      </c>
      <c r="W558" s="226">
        <v>0.2</v>
      </c>
      <c r="X558" s="226">
        <v>0.2</v>
      </c>
      <c r="Y558" s="226">
        <v>0.2</v>
      </c>
      <c r="Z558" s="226">
        <v>0.2</v>
      </c>
      <c r="AA558" s="226">
        <v>0.2</v>
      </c>
      <c r="AC558" s="195" t="s">
        <v>7</v>
      </c>
      <c r="AD558" s="69">
        <f t="shared" si="682"/>
        <v>52267.416000000005</v>
      </c>
      <c r="AE558" s="69">
        <f t="shared" si="682"/>
        <v>535788.96</v>
      </c>
      <c r="AF558" s="69">
        <f t="shared" si="682"/>
        <v>54718.54800000001</v>
      </c>
      <c r="AG558" s="69">
        <f t="shared" si="682"/>
        <v>56572.176000000007</v>
      </c>
      <c r="AH558" s="69">
        <f t="shared" si="682"/>
        <v>57947.62</v>
      </c>
      <c r="AI558" s="69">
        <f t="shared" si="682"/>
        <v>59049.08</v>
      </c>
      <c r="AJ558" s="69">
        <f t="shared" si="682"/>
        <v>60346.152000000002</v>
      </c>
      <c r="AK558" s="69">
        <f t="shared" si="658"/>
        <v>61743.948000000004</v>
      </c>
      <c r="AL558" s="69">
        <f t="shared" si="659"/>
        <v>63134.724000000002</v>
      </c>
      <c r="AN558" s="195" t="s">
        <v>7</v>
      </c>
      <c r="AO558" s="98">
        <f t="shared" ref="AO558:AW558" si="692">H558/H558</f>
        <v>1</v>
      </c>
      <c r="AP558" s="98">
        <f t="shared" si="692"/>
        <v>1</v>
      </c>
      <c r="AQ558" s="98">
        <f t="shared" si="692"/>
        <v>1</v>
      </c>
      <c r="AR558" s="98">
        <f t="shared" si="692"/>
        <v>1</v>
      </c>
      <c r="AS558" s="98">
        <f t="shared" si="692"/>
        <v>1</v>
      </c>
      <c r="AT558" s="98">
        <f t="shared" si="692"/>
        <v>1</v>
      </c>
      <c r="AU558" s="98">
        <f t="shared" si="692"/>
        <v>1</v>
      </c>
      <c r="AV558" s="98">
        <f t="shared" si="692"/>
        <v>1</v>
      </c>
      <c r="AW558" s="98">
        <f t="shared" si="692"/>
        <v>1</v>
      </c>
      <c r="AX558" s="199"/>
      <c r="AY558" s="195" t="s">
        <v>7</v>
      </c>
      <c r="AZ558" s="178">
        <f t="shared" si="644"/>
        <v>4.0000000000000001E-3</v>
      </c>
      <c r="BA558" s="178">
        <f t="shared" si="645"/>
        <v>0.04</v>
      </c>
      <c r="BB558" s="178">
        <f t="shared" si="646"/>
        <v>4.0000000000000001E-3</v>
      </c>
      <c r="BC558" s="178">
        <f t="shared" si="647"/>
        <v>4.0000000000000001E-3</v>
      </c>
      <c r="BD558" s="178">
        <f t="shared" si="648"/>
        <v>4.0000000000000001E-3</v>
      </c>
      <c r="BE558" s="178">
        <f t="shared" si="649"/>
        <v>4.0000000000000001E-3</v>
      </c>
      <c r="BF558" s="178">
        <f t="shared" si="650"/>
        <v>4.0000000000000001E-3</v>
      </c>
      <c r="BG558" s="178">
        <f t="shared" si="651"/>
        <v>4.0000000000000001E-3</v>
      </c>
      <c r="BH558" s="178">
        <f t="shared" si="652"/>
        <v>4.0000000000000001E-3</v>
      </c>
      <c r="BI558" s="199"/>
      <c r="BJ558" s="199"/>
      <c r="BK558" s="199"/>
      <c r="BL558" s="199"/>
      <c r="BM558" s="199"/>
      <c r="BN558" s="199"/>
      <c r="BO558" s="199"/>
      <c r="BP558" s="199"/>
    </row>
    <row r="559" spans="2:68" x14ac:dyDescent="0.25">
      <c r="C559" s="108"/>
      <c r="D559" s="108"/>
      <c r="E559" s="109" t="s">
        <v>5</v>
      </c>
      <c r="F559" s="110" t="s">
        <v>132</v>
      </c>
      <c r="G559" s="111" t="s">
        <v>54</v>
      </c>
      <c r="H559" s="112">
        <v>3114744</v>
      </c>
      <c r="I559" s="112">
        <v>2814347</v>
      </c>
      <c r="J559" s="112">
        <v>2718490</v>
      </c>
      <c r="K559" s="112">
        <v>2687607</v>
      </c>
      <c r="L559" s="112">
        <v>2546204</v>
      </c>
      <c r="M559" s="112">
        <v>2585955</v>
      </c>
      <c r="N559" s="112">
        <v>2365343</v>
      </c>
      <c r="O559" s="112">
        <v>2287708</v>
      </c>
      <c r="P559" s="112">
        <v>2091596</v>
      </c>
      <c r="R559" s="111" t="s">
        <v>54</v>
      </c>
      <c r="S559" s="220">
        <v>1.1000000000000001</v>
      </c>
      <c r="T559" s="220">
        <v>1.6</v>
      </c>
      <c r="U559" s="220">
        <v>1.5</v>
      </c>
      <c r="V559" s="220">
        <v>1.6</v>
      </c>
      <c r="W559" s="220">
        <v>1.8</v>
      </c>
      <c r="X559" s="220">
        <v>1.9</v>
      </c>
      <c r="Y559" s="220">
        <v>1.9</v>
      </c>
      <c r="Z559" s="220">
        <v>2</v>
      </c>
      <c r="AA559" s="220">
        <v>1.9</v>
      </c>
      <c r="AC559" s="111" t="s">
        <v>54</v>
      </c>
      <c r="AD559" s="112">
        <f t="shared" si="682"/>
        <v>68524.368000000002</v>
      </c>
      <c r="AE559" s="112">
        <f t="shared" si="682"/>
        <v>90059.104000000007</v>
      </c>
      <c r="AF559" s="112">
        <f t="shared" si="682"/>
        <v>81554.7</v>
      </c>
      <c r="AG559" s="112">
        <f t="shared" si="682"/>
        <v>86003.423999999999</v>
      </c>
      <c r="AH559" s="112">
        <f t="shared" si="682"/>
        <v>91663.343999999997</v>
      </c>
      <c r="AI559" s="112">
        <f t="shared" si="682"/>
        <v>98266.29</v>
      </c>
      <c r="AJ559" s="112">
        <f t="shared" si="682"/>
        <v>89883.034</v>
      </c>
      <c r="AK559" s="112">
        <f t="shared" si="658"/>
        <v>91508.32</v>
      </c>
      <c r="AL559" s="112">
        <f t="shared" si="659"/>
        <v>79480.648000000001</v>
      </c>
      <c r="AN559" s="111" t="s">
        <v>54</v>
      </c>
      <c r="AO559" s="113">
        <f t="shared" ref="AO559:AW559" si="693">H559/H558</f>
        <v>0.23836984786085466</v>
      </c>
      <c r="AP559" s="113">
        <f t="shared" si="693"/>
        <v>0.2101086218723133</v>
      </c>
      <c r="AQ559" s="113">
        <f t="shared" si="693"/>
        <v>0.19872530243309819</v>
      </c>
      <c r="AR559" s="113">
        <f t="shared" si="693"/>
        <v>0.1900303074783618</v>
      </c>
      <c r="AS559" s="113">
        <f t="shared" si="693"/>
        <v>0.17575900442503076</v>
      </c>
      <c r="AT559" s="113">
        <f t="shared" si="693"/>
        <v>0.17517326264863059</v>
      </c>
      <c r="AU559" s="113">
        <f t="shared" si="693"/>
        <v>0.15678500925792252</v>
      </c>
      <c r="AV559" s="113">
        <f t="shared" si="693"/>
        <v>0.14820613673748234</v>
      </c>
      <c r="AW559" s="113">
        <f t="shared" si="693"/>
        <v>0.1325163629447402</v>
      </c>
      <c r="AY559" s="111" t="s">
        <v>54</v>
      </c>
      <c r="AZ559" s="179">
        <f t="shared" si="644"/>
        <v>5.2441366529388037E-3</v>
      </c>
      <c r="BA559" s="179">
        <f t="shared" si="645"/>
        <v>6.7234758999140266E-3</v>
      </c>
      <c r="BB559" s="179">
        <f t="shared" si="646"/>
        <v>5.9617590729929455E-3</v>
      </c>
      <c r="BC559" s="179">
        <f t="shared" si="647"/>
        <v>6.0809698393075786E-3</v>
      </c>
      <c r="BD559" s="179">
        <f t="shared" si="648"/>
        <v>6.3273241593011075E-3</v>
      </c>
      <c r="BE559" s="179">
        <f t="shared" si="649"/>
        <v>6.6565839806479619E-3</v>
      </c>
      <c r="BF559" s="179">
        <f t="shared" si="650"/>
        <v>5.9578303518010552E-3</v>
      </c>
      <c r="BG559" s="179">
        <f t="shared" si="651"/>
        <v>5.928245469499294E-3</v>
      </c>
      <c r="BH559" s="179">
        <f t="shared" si="652"/>
        <v>5.0356217919001276E-3</v>
      </c>
    </row>
    <row r="560" spans="2:68" x14ac:dyDescent="0.25">
      <c r="C560" s="108"/>
      <c r="D560" s="108"/>
      <c r="E560" s="109" t="s">
        <v>5</v>
      </c>
      <c r="F560" s="110" t="s">
        <v>132</v>
      </c>
      <c r="G560" s="111" t="s">
        <v>55</v>
      </c>
      <c r="H560" s="70">
        <v>2848072</v>
      </c>
      <c r="I560" s="70">
        <v>3100645</v>
      </c>
      <c r="J560" s="70">
        <v>3146857</v>
      </c>
      <c r="K560" s="70">
        <v>3209397</v>
      </c>
      <c r="L560" s="70">
        <v>3287583</v>
      </c>
      <c r="M560" s="70">
        <v>3292530</v>
      </c>
      <c r="N560" s="70">
        <v>3375161</v>
      </c>
      <c r="O560" s="112">
        <v>3440458</v>
      </c>
      <c r="P560" s="112">
        <v>3415572</v>
      </c>
      <c r="R560" s="111" t="s">
        <v>55</v>
      </c>
      <c r="S560" s="81">
        <v>1.4</v>
      </c>
      <c r="T560" s="81">
        <v>1.2</v>
      </c>
      <c r="U560" s="81">
        <v>1.2</v>
      </c>
      <c r="V560" s="81">
        <v>1.3</v>
      </c>
      <c r="W560" s="81">
        <v>1.4</v>
      </c>
      <c r="X560" s="81">
        <v>1.5</v>
      </c>
      <c r="Y560" s="81">
        <v>1.5</v>
      </c>
      <c r="Z560" s="81">
        <v>1.6</v>
      </c>
      <c r="AA560" s="81">
        <v>1.4</v>
      </c>
      <c r="AC560" s="111" t="s">
        <v>55</v>
      </c>
      <c r="AD560" s="70">
        <f t="shared" si="682"/>
        <v>79746.016000000003</v>
      </c>
      <c r="AE560" s="70">
        <f t="shared" si="682"/>
        <v>74415.48</v>
      </c>
      <c r="AF560" s="70">
        <f t="shared" si="682"/>
        <v>75524.567999999999</v>
      </c>
      <c r="AG560" s="70">
        <f t="shared" si="682"/>
        <v>83444.322</v>
      </c>
      <c r="AH560" s="70">
        <f t="shared" si="682"/>
        <v>92052.323999999979</v>
      </c>
      <c r="AI560" s="70">
        <f t="shared" si="682"/>
        <v>98775.9</v>
      </c>
      <c r="AJ560" s="70">
        <f t="shared" si="682"/>
        <v>101254.83</v>
      </c>
      <c r="AK560" s="70">
        <f t="shared" si="658"/>
        <v>110094.65600000002</v>
      </c>
      <c r="AL560" s="70">
        <f t="shared" si="659"/>
        <v>95636.016000000003</v>
      </c>
      <c r="AN560" s="111" t="s">
        <v>55</v>
      </c>
      <c r="AO560" s="113">
        <f t="shared" ref="AO560:AW560" si="694">H560/H558</f>
        <v>0.21796156902036251</v>
      </c>
      <c r="AP560" s="113">
        <f t="shared" si="694"/>
        <v>0.23148255984968411</v>
      </c>
      <c r="AQ560" s="113">
        <f t="shared" si="694"/>
        <v>0.23003951055133992</v>
      </c>
      <c r="AR560" s="113">
        <f t="shared" si="694"/>
        <v>0.22692406245784147</v>
      </c>
      <c r="AS560" s="113">
        <f t="shared" si="694"/>
        <v>0.2269348076763118</v>
      </c>
      <c r="AT560" s="113">
        <f t="shared" si="694"/>
        <v>0.22303683647569106</v>
      </c>
      <c r="AU560" s="113">
        <f t="shared" si="694"/>
        <v>0.22372004763452025</v>
      </c>
      <c r="AV560" s="113">
        <f t="shared" si="694"/>
        <v>0.2228855206991299</v>
      </c>
      <c r="AW560" s="113">
        <f t="shared" si="694"/>
        <v>0.21639895028289027</v>
      </c>
      <c r="AY560" s="111" t="s">
        <v>55</v>
      </c>
      <c r="AZ560" s="179">
        <f t="shared" si="644"/>
        <v>6.1029239325701501E-3</v>
      </c>
      <c r="BA560" s="179">
        <f t="shared" si="645"/>
        <v>5.5555814363924183E-3</v>
      </c>
      <c r="BB560" s="179">
        <f t="shared" si="646"/>
        <v>5.5209482532321578E-3</v>
      </c>
      <c r="BC560" s="179">
        <f t="shared" si="647"/>
        <v>5.9000256239038788E-3</v>
      </c>
      <c r="BD560" s="179">
        <f t="shared" si="648"/>
        <v>6.3541746149367298E-3</v>
      </c>
      <c r="BE560" s="179">
        <f t="shared" si="649"/>
        <v>6.691105094270732E-3</v>
      </c>
      <c r="BF560" s="179">
        <f t="shared" si="650"/>
        <v>6.7116014290356076E-3</v>
      </c>
      <c r="BG560" s="179">
        <f t="shared" si="651"/>
        <v>7.1323366623721575E-3</v>
      </c>
      <c r="BH560" s="179">
        <f t="shared" si="652"/>
        <v>6.0591706079209271E-3</v>
      </c>
    </row>
    <row r="561" spans="3:60" x14ac:dyDescent="0.25">
      <c r="C561" s="108"/>
      <c r="D561" s="108"/>
      <c r="E561" s="109" t="s">
        <v>5</v>
      </c>
      <c r="F561" s="110" t="s">
        <v>132</v>
      </c>
      <c r="G561" s="111" t="s">
        <v>130</v>
      </c>
      <c r="H561" s="70">
        <v>1582490</v>
      </c>
      <c r="I561" s="70">
        <v>1765474</v>
      </c>
      <c r="J561" s="70">
        <v>1703284</v>
      </c>
      <c r="K561" s="70">
        <v>1581229</v>
      </c>
      <c r="L561" s="70">
        <v>1673412</v>
      </c>
      <c r="M561" s="70">
        <v>1725081</v>
      </c>
      <c r="N561" s="70">
        <v>1793557</v>
      </c>
      <c r="O561" s="112">
        <v>1852889</v>
      </c>
      <c r="P561" s="112">
        <v>1887862</v>
      </c>
      <c r="R561" s="111" t="s">
        <v>130</v>
      </c>
      <c r="S561" s="220">
        <v>1.7</v>
      </c>
      <c r="T561" s="220">
        <v>1.8</v>
      </c>
      <c r="U561" s="220">
        <v>1.8</v>
      </c>
      <c r="V561" s="220">
        <v>1.9</v>
      </c>
      <c r="W561" s="220">
        <v>2.1</v>
      </c>
      <c r="X561" s="220">
        <v>2.2000000000000002</v>
      </c>
      <c r="Y561" s="220">
        <v>2.2999999999999998</v>
      </c>
      <c r="Z561" s="220">
        <v>2.2999999999999998</v>
      </c>
      <c r="AA561" s="220">
        <v>2.1</v>
      </c>
      <c r="AC561" s="111" t="s">
        <v>130</v>
      </c>
      <c r="AD561" s="70">
        <f t="shared" si="682"/>
        <v>53804.66</v>
      </c>
      <c r="AE561" s="70">
        <f t="shared" si="682"/>
        <v>63557.064000000006</v>
      </c>
      <c r="AF561" s="70">
        <f t="shared" si="682"/>
        <v>61318.224000000002</v>
      </c>
      <c r="AG561" s="70">
        <f t="shared" si="682"/>
        <v>60086.70199999999</v>
      </c>
      <c r="AH561" s="70">
        <f t="shared" si="682"/>
        <v>70283.304000000004</v>
      </c>
      <c r="AI561" s="70">
        <f t="shared" si="682"/>
        <v>75903.563999999998</v>
      </c>
      <c r="AJ561" s="70">
        <f t="shared" si="682"/>
        <v>82503.621999999988</v>
      </c>
      <c r="AK561" s="70">
        <f t="shared" si="658"/>
        <v>85232.893999999986</v>
      </c>
      <c r="AL561" s="70">
        <f t="shared" si="659"/>
        <v>79290.203999999998</v>
      </c>
      <c r="AN561" s="111" t="s">
        <v>130</v>
      </c>
      <c r="AO561" s="113">
        <f t="shared" ref="AO561:AW561" si="695">H561/H558</f>
        <v>0.12110719228974319</v>
      </c>
      <c r="AP561" s="113">
        <f t="shared" si="695"/>
        <v>0.13180368628722772</v>
      </c>
      <c r="AQ561" s="113">
        <f t="shared" si="695"/>
        <v>0.12451236827409967</v>
      </c>
      <c r="AR561" s="113">
        <f t="shared" si="695"/>
        <v>0.11180259355765279</v>
      </c>
      <c r="AS561" s="113">
        <f t="shared" si="695"/>
        <v>0.1155120434626996</v>
      </c>
      <c r="AT561" s="113">
        <f t="shared" si="695"/>
        <v>0.11685743452734573</v>
      </c>
      <c r="AU561" s="113">
        <f t="shared" si="695"/>
        <v>0.11888459764592778</v>
      </c>
      <c r="AV561" s="113">
        <f t="shared" si="695"/>
        <v>0.12003696297489756</v>
      </c>
      <c r="AW561" s="113">
        <f t="shared" si="695"/>
        <v>0.11960847409422429</v>
      </c>
      <c r="AY561" s="111" t="s">
        <v>130</v>
      </c>
      <c r="AZ561" s="179">
        <f t="shared" si="644"/>
        <v>4.117644537851268E-3</v>
      </c>
      <c r="BA561" s="179">
        <f t="shared" si="645"/>
        <v>4.7449327063401985E-3</v>
      </c>
      <c r="BB561" s="179">
        <f t="shared" si="646"/>
        <v>4.4824452578675882E-3</v>
      </c>
      <c r="BC561" s="179">
        <f t="shared" si="647"/>
        <v>4.2484985551908064E-3</v>
      </c>
      <c r="BD561" s="179">
        <f t="shared" si="648"/>
        <v>4.851505825433383E-3</v>
      </c>
      <c r="BE561" s="179">
        <f t="shared" si="649"/>
        <v>5.141727119203212E-3</v>
      </c>
      <c r="BF561" s="179">
        <f t="shared" si="650"/>
        <v>5.468691491712677E-3</v>
      </c>
      <c r="BG561" s="179">
        <f t="shared" si="651"/>
        <v>5.521700296845288E-3</v>
      </c>
      <c r="BH561" s="179">
        <f t="shared" si="652"/>
        <v>5.02355591195742E-3</v>
      </c>
    </row>
    <row r="562" spans="3:60" x14ac:dyDescent="0.25">
      <c r="C562" s="108"/>
      <c r="D562" s="108"/>
      <c r="E562" s="109" t="s">
        <v>5</v>
      </c>
      <c r="F562" s="110" t="s">
        <v>132</v>
      </c>
      <c r="G562" s="111" t="s">
        <v>131</v>
      </c>
      <c r="H562" s="112">
        <v>5520350</v>
      </c>
      <c r="I562" s="112">
        <v>5710891</v>
      </c>
      <c r="J562" s="112">
        <v>6104051</v>
      </c>
      <c r="K562" s="112">
        <v>6659860</v>
      </c>
      <c r="L562" s="112">
        <v>6981875</v>
      </c>
      <c r="M562" s="112">
        <v>7159243</v>
      </c>
      <c r="N562" s="112">
        <v>7553367</v>
      </c>
      <c r="O562" s="112">
        <v>7854932</v>
      </c>
      <c r="P562" s="112">
        <v>8388653</v>
      </c>
      <c r="R562" s="111" t="s">
        <v>131</v>
      </c>
      <c r="S562" s="220">
        <v>0.9</v>
      </c>
      <c r="T562" s="220">
        <v>0.9</v>
      </c>
      <c r="U562" s="220">
        <v>0.8</v>
      </c>
      <c r="V562" s="220">
        <v>0.9</v>
      </c>
      <c r="W562" s="220">
        <v>0.9</v>
      </c>
      <c r="X562" s="220">
        <v>0.9</v>
      </c>
      <c r="Y562" s="220">
        <v>0.8</v>
      </c>
      <c r="Z562" s="220">
        <v>1</v>
      </c>
      <c r="AA562" s="220">
        <v>0.6</v>
      </c>
      <c r="AC562" s="111" t="s">
        <v>131</v>
      </c>
      <c r="AD562" s="112">
        <f t="shared" si="682"/>
        <v>99366.3</v>
      </c>
      <c r="AE562" s="112">
        <f t="shared" si="682"/>
        <v>102796.038</v>
      </c>
      <c r="AF562" s="112">
        <f t="shared" si="682"/>
        <v>97664.815999999992</v>
      </c>
      <c r="AG562" s="112">
        <f t="shared" si="682"/>
        <v>119877.48</v>
      </c>
      <c r="AH562" s="112">
        <f t="shared" si="682"/>
        <v>125673.75</v>
      </c>
      <c r="AI562" s="112">
        <f t="shared" si="682"/>
        <v>128866.37400000001</v>
      </c>
      <c r="AJ562" s="112">
        <f t="shared" si="682"/>
        <v>120853.87200000002</v>
      </c>
      <c r="AK562" s="112">
        <f t="shared" si="658"/>
        <v>157098.64000000001</v>
      </c>
      <c r="AL562" s="112">
        <f t="shared" si="659"/>
        <v>100663.836</v>
      </c>
      <c r="AN562" s="111" t="s">
        <v>131</v>
      </c>
      <c r="AO562" s="113">
        <f t="shared" ref="AO562:AW562" si="696">H562/H558</f>
        <v>0.42246970846999593</v>
      </c>
      <c r="AP562" s="113">
        <f t="shared" si="696"/>
        <v>0.42635376436274464</v>
      </c>
      <c r="AQ562" s="113">
        <f t="shared" si="696"/>
        <v>0.44621439881774638</v>
      </c>
      <c r="AR562" s="113">
        <f t="shared" si="696"/>
        <v>0.47089297042418876</v>
      </c>
      <c r="AS562" s="113">
        <f t="shared" si="696"/>
        <v>0.48194386585678584</v>
      </c>
      <c r="AT562" s="113">
        <f t="shared" si="696"/>
        <v>0.48496897834818087</v>
      </c>
      <c r="AU562" s="113">
        <f t="shared" si="696"/>
        <v>0.50066933845259931</v>
      </c>
      <c r="AV562" s="113">
        <f t="shared" si="696"/>
        <v>0.50887137958849016</v>
      </c>
      <c r="AW562" s="113">
        <f t="shared" si="696"/>
        <v>0.53147633939129912</v>
      </c>
      <c r="AY562" s="111" t="s">
        <v>131</v>
      </c>
      <c r="AZ562" s="179">
        <f t="shared" si="644"/>
        <v>7.6044547524599269E-3</v>
      </c>
      <c r="BA562" s="179">
        <f t="shared" si="645"/>
        <v>7.6743677585294039E-3</v>
      </c>
      <c r="BB562" s="179">
        <f t="shared" si="646"/>
        <v>7.1394303810839417E-3</v>
      </c>
      <c r="BC562" s="179">
        <f t="shared" si="647"/>
        <v>8.4760734676353981E-3</v>
      </c>
      <c r="BD562" s="179">
        <f t="shared" si="648"/>
        <v>8.6749895854221441E-3</v>
      </c>
      <c r="BE562" s="179">
        <f t="shared" si="649"/>
        <v>8.7294416102672561E-3</v>
      </c>
      <c r="BF562" s="179">
        <f t="shared" si="650"/>
        <v>8.0107094152415889E-3</v>
      </c>
      <c r="BG562" s="179">
        <f t="shared" si="651"/>
        <v>1.0177427591769803E-2</v>
      </c>
      <c r="BH562" s="179">
        <f t="shared" si="652"/>
        <v>6.3777160726955894E-3</v>
      </c>
    </row>
    <row r="563" spans="3:60" x14ac:dyDescent="0.25">
      <c r="E563" s="190"/>
      <c r="F563" s="110"/>
      <c r="G563" s="190"/>
      <c r="H563" s="69"/>
      <c r="I563" s="69"/>
      <c r="J563" s="69"/>
      <c r="K563" s="69"/>
      <c r="L563" s="69"/>
      <c r="M563" s="69"/>
      <c r="N563" s="69"/>
      <c r="O563" s="69"/>
      <c r="P563" s="69"/>
      <c r="AO563" s="80"/>
      <c r="AP563" s="80"/>
      <c r="AQ563" s="80"/>
      <c r="AR563" s="80"/>
      <c r="AS563" s="80"/>
      <c r="AT563" s="80"/>
    </row>
    <row r="564" spans="3:60" x14ac:dyDescent="0.25">
      <c r="E564" s="190"/>
      <c r="F564" s="110"/>
      <c r="G564" s="190"/>
      <c r="H564" s="112"/>
      <c r="I564" s="112"/>
      <c r="J564" s="112"/>
      <c r="K564" s="112"/>
      <c r="L564" s="112"/>
      <c r="M564" s="112"/>
      <c r="N564" s="112"/>
      <c r="O564" s="112"/>
      <c r="P564" s="112"/>
      <c r="AO564" s="80"/>
      <c r="AP564" s="80"/>
      <c r="AQ564" s="80"/>
      <c r="AR564" s="80"/>
      <c r="AS564" s="80"/>
      <c r="AT564" s="80"/>
    </row>
    <row r="565" spans="3:60" x14ac:dyDescent="0.25">
      <c r="E565" s="190"/>
      <c r="F565" s="110"/>
      <c r="G565" s="190"/>
      <c r="H565" s="70"/>
      <c r="I565" s="70"/>
      <c r="J565" s="70"/>
      <c r="K565" s="70"/>
      <c r="L565" s="70"/>
      <c r="M565" s="70"/>
      <c r="N565" s="70"/>
      <c r="O565" s="112"/>
      <c r="P565" s="112"/>
      <c r="AO565" s="80"/>
      <c r="AP565" s="80"/>
      <c r="AQ565" s="80"/>
      <c r="AR565" s="80"/>
      <c r="AS565" s="80"/>
      <c r="AT565" s="80"/>
    </row>
    <row r="566" spans="3:60" x14ac:dyDescent="0.25">
      <c r="E566" s="190"/>
      <c r="F566" s="110"/>
      <c r="G566" s="190"/>
      <c r="H566" s="70"/>
      <c r="I566" s="70"/>
      <c r="J566" s="70"/>
      <c r="K566" s="70"/>
      <c r="L566" s="70"/>
      <c r="M566" s="70"/>
      <c r="N566" s="70"/>
      <c r="O566" s="112"/>
      <c r="P566" s="112"/>
      <c r="AO566" s="80"/>
      <c r="AP566" s="80"/>
      <c r="AQ566" s="80"/>
      <c r="AR566" s="80"/>
      <c r="AS566" s="80"/>
      <c r="AT566" s="80"/>
    </row>
    <row r="567" spans="3:60" x14ac:dyDescent="0.25">
      <c r="E567" s="190"/>
      <c r="F567" s="110"/>
      <c r="G567" s="190"/>
      <c r="H567" s="112"/>
      <c r="I567" s="112"/>
      <c r="J567" s="112"/>
      <c r="K567" s="112"/>
      <c r="L567" s="112"/>
      <c r="M567" s="112"/>
      <c r="N567" s="112"/>
      <c r="O567" s="112"/>
      <c r="P567" s="112"/>
      <c r="AO567" s="80"/>
      <c r="AP567" s="80"/>
      <c r="AQ567" s="80"/>
      <c r="AR567" s="80"/>
      <c r="AS567" s="80"/>
      <c r="AT567" s="80"/>
    </row>
    <row r="568" spans="3:60" x14ac:dyDescent="0.25">
      <c r="E568" s="190"/>
      <c r="F568" s="110"/>
      <c r="G568" s="190"/>
      <c r="H568" s="69"/>
      <c r="I568" s="69"/>
      <c r="J568" s="69"/>
      <c r="K568" s="69"/>
      <c r="L568" s="69"/>
      <c r="M568" s="69"/>
      <c r="N568" s="69"/>
      <c r="O568" s="69"/>
      <c r="P568" s="69"/>
      <c r="AO568" s="80"/>
      <c r="AP568" s="80"/>
      <c r="AQ568" s="80"/>
      <c r="AR568" s="80"/>
      <c r="AS568" s="80"/>
      <c r="AT568" s="80"/>
    </row>
    <row r="569" spans="3:60" x14ac:dyDescent="0.25">
      <c r="E569" s="190"/>
      <c r="F569" s="110"/>
      <c r="G569" s="190"/>
      <c r="H569" s="112"/>
      <c r="I569" s="112"/>
      <c r="J569" s="112"/>
      <c r="K569" s="112"/>
      <c r="L569" s="112"/>
      <c r="M569" s="112"/>
      <c r="N569" s="112"/>
      <c r="O569" s="112"/>
      <c r="P569" s="112"/>
      <c r="AO569" s="80"/>
      <c r="AP569" s="80"/>
      <c r="AQ569" s="80"/>
      <c r="AR569" s="80"/>
      <c r="AS569" s="80"/>
      <c r="AT569" s="80"/>
    </row>
    <row r="570" spans="3:60" x14ac:dyDescent="0.25">
      <c r="E570" s="190"/>
      <c r="F570" s="110"/>
      <c r="G570" s="190"/>
      <c r="H570" s="70"/>
      <c r="I570" s="70"/>
      <c r="J570" s="70"/>
      <c r="K570" s="70"/>
      <c r="L570" s="70"/>
      <c r="M570" s="70"/>
      <c r="N570" s="70"/>
      <c r="O570" s="112"/>
      <c r="P570" s="112"/>
      <c r="AO570" s="80"/>
      <c r="AP570" s="80"/>
      <c r="AQ570" s="80"/>
      <c r="AR570" s="80"/>
      <c r="AS570" s="80"/>
      <c r="AT570" s="80"/>
    </row>
    <row r="571" spans="3:60" x14ac:dyDescent="0.25">
      <c r="E571" s="190"/>
      <c r="F571" s="110"/>
      <c r="G571" s="190"/>
      <c r="H571" s="70"/>
      <c r="I571" s="70"/>
      <c r="J571" s="70"/>
      <c r="K571" s="70"/>
      <c r="L571" s="70"/>
      <c r="M571" s="70"/>
      <c r="N571" s="70"/>
      <c r="O571" s="112"/>
      <c r="P571" s="112"/>
      <c r="AO571" s="80"/>
      <c r="AP571" s="80"/>
      <c r="AQ571" s="80"/>
      <c r="AR571" s="80"/>
      <c r="AS571" s="80"/>
      <c r="AT571" s="80"/>
    </row>
    <row r="572" spans="3:60" x14ac:dyDescent="0.25">
      <c r="E572" s="190"/>
      <c r="F572" s="110"/>
      <c r="G572" s="190"/>
      <c r="H572" s="112"/>
      <c r="I572" s="112"/>
      <c r="J572" s="112"/>
      <c r="K572" s="112"/>
      <c r="L572" s="112"/>
      <c r="M572" s="112"/>
      <c r="N572" s="112"/>
      <c r="O572" s="112"/>
      <c r="P572" s="112"/>
      <c r="S572" s="124"/>
      <c r="T572" s="124"/>
      <c r="AO572" s="80"/>
      <c r="AP572" s="80"/>
      <c r="AQ572" s="80"/>
      <c r="AR572" s="80"/>
      <c r="AS572" s="80"/>
      <c r="AT572" s="80"/>
    </row>
    <row r="573" spans="3:60" x14ac:dyDescent="0.25">
      <c r="E573" s="190"/>
      <c r="F573" s="110"/>
      <c r="G573" s="190"/>
      <c r="H573" s="69"/>
      <c r="I573" s="69"/>
      <c r="J573" s="69"/>
      <c r="K573" s="69"/>
      <c r="L573" s="69"/>
      <c r="M573" s="69"/>
      <c r="N573" s="69"/>
      <c r="O573" s="69"/>
      <c r="P573" s="69"/>
      <c r="S573" s="126"/>
      <c r="T573" s="126"/>
      <c r="AO573" s="80"/>
      <c r="AP573" s="80"/>
      <c r="AQ573" s="80"/>
      <c r="AR573" s="80"/>
      <c r="AS573" s="80"/>
      <c r="AT573" s="80"/>
    </row>
    <row r="574" spans="3:60" x14ac:dyDescent="0.25">
      <c r="E574" s="190"/>
      <c r="F574" s="110"/>
      <c r="G574" s="190"/>
      <c r="H574" s="112"/>
      <c r="I574" s="112"/>
      <c r="J574" s="112"/>
      <c r="K574" s="112"/>
      <c r="L574" s="112"/>
      <c r="M574" s="112"/>
      <c r="N574" s="112"/>
      <c r="O574" s="112"/>
      <c r="P574" s="112"/>
      <c r="S574" s="127"/>
      <c r="T574" s="127"/>
      <c r="AO574" s="80"/>
      <c r="AP574" s="80"/>
      <c r="AQ574" s="80"/>
      <c r="AR574" s="80"/>
      <c r="AS574" s="80"/>
      <c r="AT574" s="80"/>
    </row>
    <row r="575" spans="3:60" x14ac:dyDescent="0.25">
      <c r="E575" s="190"/>
      <c r="F575" s="110"/>
      <c r="G575" s="190"/>
      <c r="H575" s="70"/>
      <c r="I575" s="70"/>
      <c r="J575" s="70"/>
      <c r="K575" s="70"/>
      <c r="L575" s="70"/>
      <c r="M575" s="70"/>
      <c r="N575" s="70"/>
      <c r="O575" s="112"/>
      <c r="P575" s="112"/>
      <c r="S575" s="127"/>
      <c r="T575" s="127"/>
      <c r="AO575" s="80"/>
      <c r="AP575" s="80"/>
      <c r="AQ575" s="80"/>
      <c r="AR575" s="80"/>
      <c r="AS575" s="80"/>
      <c r="AT575" s="80"/>
    </row>
    <row r="576" spans="3:60" x14ac:dyDescent="0.25">
      <c r="E576" s="190"/>
      <c r="F576" s="110"/>
      <c r="G576" s="190"/>
      <c r="H576" s="70"/>
      <c r="I576" s="70"/>
      <c r="J576" s="70"/>
      <c r="K576" s="70"/>
      <c r="L576" s="70"/>
      <c r="M576" s="70"/>
      <c r="N576" s="70"/>
      <c r="O576" s="112"/>
      <c r="P576" s="112"/>
      <c r="S576" s="126"/>
      <c r="T576" s="126"/>
      <c r="AO576" s="80"/>
      <c r="AP576" s="80"/>
      <c r="AQ576" s="80"/>
      <c r="AR576" s="80"/>
      <c r="AS576" s="80"/>
      <c r="AT576" s="80"/>
    </row>
    <row r="577" spans="5:46" x14ac:dyDescent="0.25">
      <c r="E577" s="190"/>
      <c r="F577" s="110"/>
      <c r="G577" s="190"/>
      <c r="H577" s="112"/>
      <c r="I577" s="112"/>
      <c r="J577" s="112"/>
      <c r="K577" s="112"/>
      <c r="L577" s="112"/>
      <c r="M577" s="112"/>
      <c r="N577" s="112"/>
      <c r="O577" s="112"/>
      <c r="P577" s="112"/>
      <c r="S577" s="124"/>
      <c r="T577" s="124"/>
      <c r="AO577" s="80"/>
      <c r="AP577" s="80"/>
      <c r="AQ577" s="80"/>
      <c r="AR577" s="80"/>
      <c r="AS577" s="80"/>
      <c r="AT577" s="80"/>
    </row>
    <row r="578" spans="5:46" x14ac:dyDescent="0.25">
      <c r="E578" s="190"/>
      <c r="F578" s="110"/>
      <c r="G578" s="190"/>
      <c r="H578" s="70"/>
      <c r="I578" s="70"/>
      <c r="J578" s="70"/>
      <c r="K578" s="70"/>
      <c r="L578" s="70"/>
      <c r="M578" s="70"/>
      <c r="S578" s="126"/>
      <c r="T578" s="126"/>
      <c r="AO578" s="80"/>
      <c r="AP578" s="80"/>
      <c r="AQ578" s="80"/>
      <c r="AR578" s="80"/>
      <c r="AS578" s="80"/>
      <c r="AT578" s="80"/>
    </row>
    <row r="579" spans="5:46" x14ac:dyDescent="0.25">
      <c r="E579" s="190"/>
      <c r="F579" s="110"/>
      <c r="G579" s="190"/>
      <c r="H579" s="70"/>
      <c r="I579" s="70"/>
      <c r="J579" s="70"/>
      <c r="K579" s="70"/>
      <c r="L579" s="70"/>
      <c r="M579" s="70"/>
      <c r="S579" s="127"/>
      <c r="T579" s="127"/>
      <c r="AO579" s="80"/>
      <c r="AP579" s="80"/>
      <c r="AQ579" s="80"/>
      <c r="AR579" s="80"/>
      <c r="AS579" s="80"/>
      <c r="AT579" s="80"/>
    </row>
    <row r="580" spans="5:46" x14ac:dyDescent="0.25">
      <c r="E580" s="190"/>
      <c r="F580" s="110"/>
      <c r="G580" s="190"/>
      <c r="H580" s="70"/>
      <c r="I580" s="70"/>
      <c r="J580" s="70"/>
      <c r="K580" s="70"/>
      <c r="L580" s="70"/>
      <c r="M580" s="70"/>
      <c r="S580" s="127"/>
      <c r="T580" s="127"/>
      <c r="AO580" s="80"/>
      <c r="AP580" s="80"/>
      <c r="AQ580" s="80"/>
      <c r="AR580" s="80"/>
      <c r="AS580" s="80"/>
      <c r="AT580" s="80"/>
    </row>
    <row r="581" spans="5:46" x14ac:dyDescent="0.25">
      <c r="E581" s="190"/>
      <c r="F581" s="110"/>
      <c r="G581" s="190"/>
      <c r="H581" s="70"/>
      <c r="I581" s="70"/>
      <c r="J581" s="70"/>
      <c r="K581" s="70"/>
      <c r="L581" s="70"/>
      <c r="M581" s="70"/>
      <c r="S581" s="126"/>
      <c r="T581" s="126"/>
      <c r="AO581" s="80"/>
      <c r="AP581" s="80"/>
      <c r="AQ581" s="80"/>
      <c r="AR581" s="80"/>
      <c r="AS581" s="80"/>
      <c r="AT581" s="80"/>
    </row>
    <row r="582" spans="5:46" x14ac:dyDescent="0.25">
      <c r="E582" s="190"/>
      <c r="F582" s="110"/>
      <c r="G582" s="190"/>
      <c r="H582" s="70"/>
      <c r="I582" s="70"/>
      <c r="J582" s="70"/>
      <c r="K582" s="70"/>
      <c r="L582" s="70"/>
      <c r="M582" s="70"/>
      <c r="S582" s="124"/>
      <c r="T582" s="124"/>
      <c r="AO582" s="80"/>
      <c r="AP582" s="80"/>
      <c r="AQ582" s="80"/>
      <c r="AR582" s="80"/>
      <c r="AS582" s="80"/>
      <c r="AT582" s="80"/>
    </row>
    <row r="583" spans="5:46" x14ac:dyDescent="0.25">
      <c r="E583" s="190"/>
      <c r="F583" s="110"/>
      <c r="G583" s="190"/>
      <c r="H583" s="70"/>
      <c r="I583" s="70"/>
      <c r="J583" s="70"/>
      <c r="K583" s="70"/>
      <c r="L583" s="70"/>
      <c r="M583" s="70"/>
      <c r="S583" s="126"/>
      <c r="T583" s="126"/>
      <c r="AO583" s="80"/>
      <c r="AP583" s="80"/>
      <c r="AQ583" s="80"/>
      <c r="AR583" s="80"/>
      <c r="AS583" s="80"/>
      <c r="AT583" s="80"/>
    </row>
    <row r="584" spans="5:46" x14ac:dyDescent="0.25">
      <c r="E584" s="190"/>
      <c r="F584" s="110"/>
      <c r="G584" s="190"/>
      <c r="H584" s="70"/>
      <c r="I584" s="70"/>
      <c r="J584" s="70"/>
      <c r="K584" s="70"/>
      <c r="L584" s="70"/>
      <c r="M584" s="70"/>
      <c r="S584" s="127"/>
      <c r="T584" s="127"/>
      <c r="AO584" s="80"/>
      <c r="AP584" s="80"/>
      <c r="AQ584" s="80"/>
      <c r="AR584" s="80"/>
      <c r="AS584" s="80"/>
      <c r="AT584" s="80"/>
    </row>
    <row r="585" spans="5:46" x14ac:dyDescent="0.25">
      <c r="E585" s="190"/>
      <c r="F585" s="110"/>
      <c r="G585" s="190"/>
      <c r="H585" s="70"/>
      <c r="I585" s="70"/>
      <c r="J585" s="70"/>
      <c r="K585" s="70"/>
      <c r="L585" s="70"/>
      <c r="M585" s="70"/>
      <c r="S585" s="127"/>
      <c r="T585" s="127"/>
      <c r="AO585" s="80"/>
      <c r="AP585" s="80"/>
      <c r="AQ585" s="80"/>
      <c r="AR585" s="80"/>
      <c r="AS585" s="80"/>
      <c r="AT585" s="80"/>
    </row>
    <row r="586" spans="5:46" x14ac:dyDescent="0.25">
      <c r="E586" s="190"/>
      <c r="F586" s="110"/>
      <c r="G586" s="190"/>
      <c r="H586" s="70"/>
      <c r="I586" s="70"/>
      <c r="J586" s="70"/>
      <c r="K586" s="70"/>
      <c r="L586" s="70"/>
      <c r="M586" s="70"/>
      <c r="S586" s="126"/>
      <c r="T586" s="126"/>
      <c r="AO586" s="80"/>
      <c r="AP586" s="80"/>
      <c r="AQ586" s="80"/>
      <c r="AR586" s="80"/>
      <c r="AS586" s="80"/>
      <c r="AT586" s="80"/>
    </row>
    <row r="587" spans="5:46" x14ac:dyDescent="0.25">
      <c r="E587" s="190"/>
      <c r="F587" s="110"/>
      <c r="G587" s="190"/>
      <c r="H587" s="70"/>
      <c r="I587" s="70"/>
      <c r="J587" s="70"/>
      <c r="K587" s="70"/>
      <c r="L587" s="70"/>
      <c r="M587" s="70"/>
      <c r="S587" s="124"/>
      <c r="T587" s="124"/>
      <c r="AO587" s="80"/>
      <c r="AP587" s="80"/>
      <c r="AQ587" s="80"/>
      <c r="AR587" s="80"/>
      <c r="AS587" s="80"/>
      <c r="AT587" s="80"/>
    </row>
    <row r="588" spans="5:46" x14ac:dyDescent="0.25">
      <c r="E588" s="190"/>
      <c r="F588" s="110"/>
      <c r="G588" s="190"/>
      <c r="H588" s="70"/>
      <c r="I588" s="70"/>
      <c r="J588" s="70"/>
      <c r="K588" s="70"/>
      <c r="L588" s="70"/>
      <c r="M588" s="70"/>
      <c r="S588" s="126"/>
      <c r="T588" s="126"/>
      <c r="AO588" s="80"/>
      <c r="AP588" s="80"/>
      <c r="AQ588" s="80"/>
      <c r="AR588" s="80"/>
      <c r="AS588" s="80"/>
      <c r="AT588" s="80"/>
    </row>
    <row r="589" spans="5:46" x14ac:dyDescent="0.25">
      <c r="E589" s="190"/>
      <c r="F589" s="110"/>
      <c r="G589" s="190"/>
      <c r="H589" s="70"/>
      <c r="I589" s="70"/>
      <c r="J589" s="70"/>
      <c r="K589" s="70"/>
      <c r="L589" s="70"/>
      <c r="M589" s="70"/>
      <c r="S589" s="127"/>
      <c r="T589" s="127"/>
      <c r="AO589" s="80"/>
      <c r="AP589" s="80"/>
      <c r="AQ589" s="80"/>
      <c r="AR589" s="80"/>
      <c r="AS589" s="80"/>
      <c r="AT589" s="80"/>
    </row>
    <row r="590" spans="5:46" x14ac:dyDescent="0.25">
      <c r="E590" s="190"/>
      <c r="F590" s="110"/>
      <c r="G590" s="190"/>
      <c r="H590" s="70"/>
      <c r="I590" s="70"/>
      <c r="J590" s="70"/>
      <c r="K590" s="70"/>
      <c r="L590" s="70"/>
      <c r="M590" s="70"/>
      <c r="S590" s="127"/>
      <c r="T590" s="127"/>
      <c r="AO590" s="80"/>
      <c r="AP590" s="80"/>
      <c r="AQ590" s="80"/>
      <c r="AR590" s="80"/>
      <c r="AS590" s="80"/>
      <c r="AT590" s="80"/>
    </row>
    <row r="591" spans="5:46" x14ac:dyDescent="0.25">
      <c r="E591" s="190"/>
      <c r="F591" s="110"/>
      <c r="G591" s="190"/>
      <c r="H591" s="70"/>
      <c r="I591" s="70"/>
      <c r="J591" s="70"/>
      <c r="K591" s="70"/>
      <c r="L591" s="70"/>
      <c r="M591" s="70"/>
      <c r="S591" s="126"/>
      <c r="T591" s="126"/>
      <c r="AO591" s="80"/>
      <c r="AP591" s="80"/>
      <c r="AQ591" s="80"/>
      <c r="AR591" s="80"/>
      <c r="AS591" s="80"/>
      <c r="AT591" s="80"/>
    </row>
    <row r="592" spans="5:46" x14ac:dyDescent="0.25">
      <c r="E592" s="190"/>
      <c r="F592" s="110"/>
      <c r="G592" s="190"/>
      <c r="H592" s="70"/>
      <c r="I592" s="70"/>
      <c r="J592" s="70"/>
      <c r="K592" s="70"/>
      <c r="L592" s="70"/>
      <c r="M592" s="70"/>
      <c r="S592" s="124"/>
      <c r="T592" s="124"/>
      <c r="AO592" s="80"/>
      <c r="AP592" s="80"/>
      <c r="AQ592" s="80"/>
      <c r="AR592" s="80"/>
      <c r="AS592" s="80"/>
      <c r="AT592" s="80"/>
    </row>
    <row r="593" spans="5:46" x14ac:dyDescent="0.25">
      <c r="E593" s="190"/>
      <c r="F593" s="110"/>
      <c r="G593" s="190"/>
      <c r="H593" s="70"/>
      <c r="I593" s="70"/>
      <c r="J593" s="70"/>
      <c r="K593" s="70"/>
      <c r="L593" s="70"/>
      <c r="M593" s="70"/>
      <c r="S593" s="126"/>
      <c r="T593" s="126"/>
      <c r="AO593" s="80"/>
      <c r="AP593" s="80"/>
      <c r="AQ593" s="80"/>
      <c r="AR593" s="80"/>
      <c r="AS593" s="80"/>
      <c r="AT593" s="80"/>
    </row>
    <row r="594" spans="5:46" x14ac:dyDescent="0.25">
      <c r="E594" s="190"/>
      <c r="F594" s="110"/>
      <c r="G594" s="190"/>
      <c r="H594" s="70"/>
      <c r="I594" s="70"/>
      <c r="J594" s="70"/>
      <c r="K594" s="70"/>
      <c r="L594" s="70"/>
      <c r="M594" s="70"/>
      <c r="S594" s="127"/>
      <c r="T594" s="127"/>
      <c r="AO594" s="80"/>
      <c r="AP594" s="80"/>
      <c r="AQ594" s="80"/>
      <c r="AR594" s="80"/>
      <c r="AS594" s="80"/>
      <c r="AT594" s="80"/>
    </row>
    <row r="595" spans="5:46" x14ac:dyDescent="0.25">
      <c r="E595" s="190"/>
      <c r="F595" s="110"/>
      <c r="G595" s="190"/>
      <c r="H595" s="70"/>
      <c r="I595" s="70"/>
      <c r="J595" s="70"/>
      <c r="K595" s="70"/>
      <c r="L595" s="70"/>
      <c r="M595" s="70"/>
      <c r="S595" s="127"/>
      <c r="T595" s="127"/>
      <c r="AO595" s="80"/>
      <c r="AP595" s="80"/>
      <c r="AQ595" s="80"/>
      <c r="AR595" s="80"/>
      <c r="AS595" s="80"/>
      <c r="AT595" s="80"/>
    </row>
    <row r="596" spans="5:46" x14ac:dyDescent="0.25">
      <c r="E596" s="190"/>
      <c r="F596" s="110"/>
      <c r="G596" s="190"/>
      <c r="H596" s="70"/>
      <c r="I596" s="70"/>
      <c r="J596" s="70"/>
      <c r="K596" s="70"/>
      <c r="L596" s="70"/>
      <c r="M596" s="70"/>
      <c r="S596" s="126"/>
      <c r="T596" s="126"/>
      <c r="AO596" s="80"/>
      <c r="AP596" s="80"/>
      <c r="AQ596" s="80"/>
      <c r="AR596" s="80"/>
      <c r="AS596" s="80"/>
      <c r="AT596" s="80"/>
    </row>
    <row r="597" spans="5:46" x14ac:dyDescent="0.25">
      <c r="E597" s="190"/>
      <c r="F597" s="110"/>
      <c r="G597" s="190"/>
      <c r="H597" s="70"/>
      <c r="I597" s="70"/>
      <c r="J597" s="70"/>
      <c r="K597" s="70"/>
      <c r="L597" s="70"/>
      <c r="M597" s="70"/>
      <c r="S597" s="128"/>
      <c r="T597" s="128"/>
      <c r="AO597" s="80"/>
      <c r="AP597" s="80"/>
      <c r="AQ597" s="80"/>
      <c r="AR597" s="80"/>
      <c r="AS597" s="80"/>
      <c r="AT597" s="80"/>
    </row>
    <row r="598" spans="5:46" x14ac:dyDescent="0.25">
      <c r="E598" s="190"/>
      <c r="F598" s="110"/>
      <c r="G598" s="190"/>
      <c r="H598" s="70"/>
      <c r="I598" s="70"/>
      <c r="J598" s="70"/>
      <c r="K598" s="70"/>
      <c r="L598" s="70"/>
      <c r="M598" s="70"/>
      <c r="S598" s="128"/>
      <c r="T598" s="128"/>
      <c r="AO598" s="80"/>
      <c r="AP598" s="80"/>
      <c r="AQ598" s="80"/>
      <c r="AR598" s="80"/>
      <c r="AS598" s="80"/>
      <c r="AT598" s="80"/>
    </row>
    <row r="599" spans="5:46" x14ac:dyDescent="0.25">
      <c r="E599" s="190"/>
      <c r="F599" s="110"/>
      <c r="G599" s="190"/>
      <c r="H599" s="70"/>
      <c r="I599" s="70"/>
      <c r="J599" s="70"/>
      <c r="K599" s="70"/>
      <c r="L599" s="70"/>
      <c r="M599" s="70"/>
      <c r="S599" s="128"/>
      <c r="T599" s="128"/>
      <c r="AO599" s="80"/>
      <c r="AP599" s="80"/>
      <c r="AQ599" s="80"/>
      <c r="AR599" s="80"/>
      <c r="AS599" s="80"/>
      <c r="AT599" s="80"/>
    </row>
    <row r="600" spans="5:46" x14ac:dyDescent="0.25">
      <c r="E600" s="190"/>
      <c r="F600" s="110"/>
      <c r="G600" s="190"/>
      <c r="H600" s="70"/>
      <c r="I600" s="70"/>
      <c r="J600" s="70"/>
      <c r="K600" s="70"/>
      <c r="L600" s="70"/>
      <c r="M600" s="70"/>
      <c r="S600" s="128"/>
      <c r="T600" s="128"/>
      <c r="AO600" s="80"/>
      <c r="AP600" s="80"/>
      <c r="AQ600" s="80"/>
      <c r="AR600" s="80"/>
      <c r="AS600" s="80"/>
      <c r="AT600" s="80"/>
    </row>
    <row r="601" spans="5:46" x14ac:dyDescent="0.25">
      <c r="E601" s="190"/>
      <c r="F601" s="110"/>
      <c r="G601" s="190"/>
      <c r="H601" s="70"/>
      <c r="I601" s="70"/>
      <c r="J601" s="70"/>
      <c r="K601" s="70"/>
      <c r="L601" s="70"/>
      <c r="M601" s="70"/>
      <c r="S601" s="128"/>
      <c r="T601" s="128"/>
      <c r="AO601" s="80"/>
      <c r="AP601" s="80"/>
      <c r="AQ601" s="80"/>
      <c r="AR601" s="80"/>
      <c r="AS601" s="80"/>
      <c r="AT601" s="80"/>
    </row>
    <row r="602" spans="5:46" x14ac:dyDescent="0.25">
      <c r="E602" s="190"/>
      <c r="F602" s="110"/>
      <c r="G602" s="190"/>
      <c r="H602" s="70"/>
      <c r="I602" s="70"/>
      <c r="J602" s="70"/>
      <c r="K602" s="70"/>
      <c r="L602" s="70"/>
      <c r="M602" s="70"/>
      <c r="S602" s="201"/>
      <c r="T602" s="201"/>
      <c r="AO602" s="80"/>
      <c r="AP602" s="80"/>
      <c r="AQ602" s="80"/>
      <c r="AR602" s="80"/>
      <c r="AS602" s="80"/>
      <c r="AT602" s="80"/>
    </row>
    <row r="603" spans="5:46" x14ac:dyDescent="0.25">
      <c r="E603" s="190"/>
      <c r="F603" s="110"/>
      <c r="G603" s="190"/>
      <c r="H603" s="70"/>
      <c r="I603" s="70"/>
      <c r="J603" s="70"/>
      <c r="K603" s="70"/>
      <c r="L603" s="70"/>
      <c r="M603" s="70"/>
      <c r="S603" s="201"/>
      <c r="T603" s="201"/>
      <c r="AO603" s="80"/>
      <c r="AP603" s="80"/>
      <c r="AQ603" s="80"/>
      <c r="AR603" s="80"/>
      <c r="AS603" s="80"/>
      <c r="AT603" s="80"/>
    </row>
    <row r="604" spans="5:46" x14ac:dyDescent="0.25">
      <c r="E604" s="190"/>
      <c r="F604" s="110"/>
      <c r="G604" s="190"/>
      <c r="H604" s="70"/>
      <c r="I604" s="70"/>
      <c r="J604" s="70"/>
      <c r="K604" s="70"/>
      <c r="L604" s="70"/>
      <c r="M604" s="70"/>
      <c r="S604" s="201"/>
      <c r="T604" s="201"/>
      <c r="AO604" s="80"/>
      <c r="AP604" s="80"/>
      <c r="AQ604" s="80"/>
      <c r="AR604" s="80"/>
      <c r="AS604" s="80"/>
      <c r="AT604" s="80"/>
    </row>
    <row r="605" spans="5:46" x14ac:dyDescent="0.25">
      <c r="E605" s="190"/>
      <c r="F605" s="110"/>
      <c r="G605" s="190"/>
      <c r="H605" s="70"/>
      <c r="I605" s="70"/>
      <c r="J605" s="70"/>
      <c r="K605" s="70"/>
      <c r="L605" s="70"/>
      <c r="M605" s="70"/>
      <c r="S605" s="201"/>
      <c r="T605" s="201"/>
      <c r="AO605" s="80"/>
      <c r="AP605" s="80"/>
      <c r="AQ605" s="80"/>
      <c r="AR605" s="80"/>
      <c r="AS605" s="80"/>
      <c r="AT605" s="80"/>
    </row>
    <row r="606" spans="5:46" x14ac:dyDescent="0.25">
      <c r="E606" s="190"/>
      <c r="F606" s="110"/>
      <c r="G606" s="190"/>
      <c r="H606" s="70"/>
      <c r="I606" s="70"/>
      <c r="J606" s="70"/>
      <c r="K606" s="70"/>
      <c r="L606" s="70"/>
      <c r="M606" s="70"/>
      <c r="S606" s="201"/>
      <c r="T606" s="201"/>
      <c r="AO606" s="80"/>
      <c r="AP606" s="80"/>
      <c r="AQ606" s="80"/>
      <c r="AR606" s="80"/>
      <c r="AS606" s="80"/>
      <c r="AT606" s="80"/>
    </row>
    <row r="607" spans="5:46" x14ac:dyDescent="0.25">
      <c r="E607" s="190"/>
      <c r="F607" s="110"/>
      <c r="G607" s="190"/>
      <c r="H607" s="70"/>
      <c r="I607" s="70"/>
      <c r="J607" s="70"/>
      <c r="K607" s="70"/>
      <c r="L607" s="70"/>
      <c r="M607" s="70"/>
      <c r="S607" s="201"/>
      <c r="T607" s="201"/>
      <c r="AO607" s="80"/>
      <c r="AP607" s="80"/>
      <c r="AQ607" s="80"/>
      <c r="AR607" s="80"/>
      <c r="AS607" s="80"/>
      <c r="AT607" s="80"/>
    </row>
    <row r="608" spans="5:46" x14ac:dyDescent="0.25">
      <c r="E608" s="190"/>
      <c r="F608" s="110"/>
      <c r="G608" s="190"/>
      <c r="H608" s="70"/>
      <c r="I608" s="70"/>
      <c r="J608" s="70"/>
      <c r="K608" s="70"/>
      <c r="L608" s="70"/>
      <c r="M608" s="70"/>
      <c r="S608" s="201"/>
      <c r="T608" s="201"/>
      <c r="AO608" s="80"/>
      <c r="AP608" s="80"/>
      <c r="AQ608" s="80"/>
      <c r="AR608" s="80"/>
      <c r="AS608" s="80"/>
      <c r="AT608" s="80"/>
    </row>
    <row r="609" spans="5:46" x14ac:dyDescent="0.25">
      <c r="E609" s="190"/>
      <c r="F609" s="110"/>
      <c r="G609" s="190"/>
      <c r="H609" s="70"/>
      <c r="I609" s="70"/>
      <c r="J609" s="70"/>
      <c r="K609" s="70"/>
      <c r="L609" s="70"/>
      <c r="M609" s="70"/>
      <c r="S609" s="201"/>
      <c r="T609" s="201"/>
      <c r="AO609" s="80"/>
      <c r="AP609" s="80"/>
      <c r="AQ609" s="80"/>
      <c r="AR609" s="80"/>
      <c r="AS609" s="80"/>
      <c r="AT609" s="80"/>
    </row>
    <row r="610" spans="5:46" x14ac:dyDescent="0.25">
      <c r="E610" s="190"/>
      <c r="F610" s="110"/>
      <c r="G610" s="190"/>
      <c r="H610" s="70"/>
      <c r="I610" s="70"/>
      <c r="J610" s="70"/>
      <c r="K610" s="70"/>
      <c r="L610" s="70"/>
      <c r="M610" s="70"/>
      <c r="S610" s="201"/>
      <c r="T610" s="201"/>
      <c r="AO610" s="80"/>
      <c r="AP610" s="80"/>
      <c r="AQ610" s="80"/>
      <c r="AR610" s="80"/>
      <c r="AS610" s="80"/>
      <c r="AT610" s="80"/>
    </row>
    <row r="611" spans="5:46" x14ac:dyDescent="0.25">
      <c r="E611" s="190"/>
      <c r="F611" s="110"/>
      <c r="G611" s="190"/>
      <c r="H611" s="70"/>
      <c r="I611" s="70"/>
      <c r="J611" s="70"/>
      <c r="K611" s="70"/>
      <c r="L611" s="70"/>
      <c r="M611" s="70"/>
      <c r="S611" s="201"/>
      <c r="T611" s="201"/>
      <c r="AO611" s="80"/>
      <c r="AP611" s="80"/>
      <c r="AQ611" s="80"/>
      <c r="AR611" s="80"/>
      <c r="AS611" s="80"/>
      <c r="AT611" s="80"/>
    </row>
    <row r="612" spans="5:46" x14ac:dyDescent="0.25">
      <c r="E612" s="190"/>
      <c r="F612" s="110"/>
      <c r="G612" s="190"/>
      <c r="H612" s="70"/>
      <c r="I612" s="70"/>
      <c r="J612" s="70"/>
      <c r="K612" s="70"/>
      <c r="L612" s="70"/>
      <c r="M612" s="70"/>
      <c r="AO612" s="80"/>
      <c r="AP612" s="80"/>
      <c r="AQ612" s="80"/>
      <c r="AR612" s="80"/>
      <c r="AS612" s="80"/>
      <c r="AT612" s="80"/>
    </row>
    <row r="613" spans="5:46" x14ac:dyDescent="0.25">
      <c r="E613" s="190"/>
      <c r="F613" s="110"/>
      <c r="G613" s="190"/>
      <c r="H613" s="70"/>
      <c r="I613" s="70"/>
      <c r="J613" s="70"/>
      <c r="K613" s="70"/>
      <c r="L613" s="70"/>
      <c r="M613" s="70"/>
      <c r="AO613" s="80"/>
      <c r="AP613" s="80"/>
      <c r="AQ613" s="80"/>
      <c r="AR613" s="80"/>
      <c r="AS613" s="80"/>
      <c r="AT613" s="80"/>
    </row>
    <row r="614" spans="5:46" x14ac:dyDescent="0.25">
      <c r="E614" s="190"/>
      <c r="F614" s="110"/>
      <c r="G614" s="190"/>
      <c r="H614" s="70"/>
      <c r="I614" s="70"/>
      <c r="J614" s="70"/>
      <c r="K614" s="70"/>
      <c r="L614" s="70"/>
      <c r="M614" s="70"/>
      <c r="AO614" s="80"/>
      <c r="AP614" s="80"/>
      <c r="AQ614" s="80"/>
      <c r="AR614" s="80"/>
      <c r="AS614" s="80"/>
      <c r="AT614" s="80"/>
    </row>
    <row r="615" spans="5:46" x14ac:dyDescent="0.25">
      <c r="E615" s="190"/>
      <c r="F615" s="110"/>
      <c r="G615" s="190"/>
      <c r="H615" s="70"/>
      <c r="I615" s="70"/>
      <c r="J615" s="70"/>
      <c r="K615" s="70"/>
      <c r="L615" s="70"/>
      <c r="M615" s="70"/>
      <c r="AO615" s="80"/>
      <c r="AP615" s="80"/>
      <c r="AQ615" s="80"/>
      <c r="AR615" s="80"/>
      <c r="AS615" s="80"/>
      <c r="AT615" s="80"/>
    </row>
    <row r="616" spans="5:46" x14ac:dyDescent="0.25">
      <c r="E616" s="190"/>
      <c r="F616" s="110"/>
      <c r="G616" s="190"/>
      <c r="H616" s="70"/>
      <c r="I616" s="70"/>
      <c r="J616" s="70"/>
      <c r="K616" s="70"/>
      <c r="L616" s="70"/>
      <c r="M616" s="70"/>
      <c r="AO616" s="80"/>
      <c r="AP616" s="80"/>
      <c r="AQ616" s="80"/>
      <c r="AR616" s="80"/>
      <c r="AS616" s="80"/>
      <c r="AT616" s="80"/>
    </row>
    <row r="617" spans="5:46" x14ac:dyDescent="0.25">
      <c r="E617" s="190"/>
      <c r="F617" s="110"/>
      <c r="G617" s="190"/>
      <c r="H617" s="70"/>
      <c r="I617" s="70"/>
      <c r="J617" s="70"/>
      <c r="K617" s="70"/>
      <c r="L617" s="70"/>
      <c r="M617" s="70"/>
      <c r="AO617" s="80"/>
      <c r="AP617" s="80"/>
      <c r="AQ617" s="80"/>
      <c r="AR617" s="80"/>
      <c r="AS617" s="80"/>
      <c r="AT617" s="80"/>
    </row>
    <row r="618" spans="5:46" x14ac:dyDescent="0.25">
      <c r="E618" s="190"/>
      <c r="F618" s="110"/>
      <c r="G618" s="190"/>
      <c r="H618" s="70"/>
      <c r="I618" s="70"/>
      <c r="J618" s="70"/>
      <c r="K618" s="70"/>
      <c r="L618" s="70"/>
      <c r="M618" s="70"/>
      <c r="AO618" s="80"/>
      <c r="AP618" s="80"/>
      <c r="AQ618" s="80"/>
      <c r="AR618" s="80"/>
      <c r="AS618" s="80"/>
      <c r="AT618" s="80"/>
    </row>
    <row r="619" spans="5:46" x14ac:dyDescent="0.25">
      <c r="E619" s="190"/>
      <c r="F619" s="110"/>
      <c r="G619" s="190"/>
      <c r="H619" s="70"/>
      <c r="I619" s="70"/>
      <c r="J619" s="70"/>
      <c r="K619" s="70"/>
      <c r="L619" s="70"/>
      <c r="M619" s="70"/>
      <c r="AO619" s="80"/>
      <c r="AP619" s="80"/>
      <c r="AQ619" s="80"/>
      <c r="AR619" s="80"/>
      <c r="AS619" s="80"/>
      <c r="AT619" s="80"/>
    </row>
    <row r="620" spans="5:46" x14ac:dyDescent="0.25">
      <c r="E620" s="190"/>
      <c r="F620" s="110"/>
      <c r="G620" s="190"/>
      <c r="H620" s="70"/>
      <c r="I620" s="70"/>
      <c r="J620" s="70"/>
      <c r="K620" s="70"/>
      <c r="L620" s="70"/>
      <c r="M620" s="70"/>
      <c r="AO620" s="80"/>
      <c r="AP620" s="80"/>
      <c r="AQ620" s="80"/>
      <c r="AR620" s="80"/>
      <c r="AS620" s="80"/>
      <c r="AT620" s="80"/>
    </row>
    <row r="621" spans="5:46" x14ac:dyDescent="0.25">
      <c r="E621" s="190"/>
      <c r="F621" s="110"/>
      <c r="G621" s="190"/>
      <c r="H621" s="70"/>
      <c r="I621" s="70"/>
      <c r="J621" s="70"/>
      <c r="K621" s="70"/>
      <c r="L621" s="70"/>
      <c r="M621" s="70"/>
      <c r="AO621" s="80"/>
      <c r="AP621" s="80"/>
      <c r="AQ621" s="80"/>
      <c r="AR621" s="80"/>
      <c r="AS621" s="80"/>
      <c r="AT621" s="80"/>
    </row>
    <row r="622" spans="5:46" x14ac:dyDescent="0.25">
      <c r="E622" s="190"/>
      <c r="F622" s="110"/>
      <c r="G622" s="190"/>
      <c r="H622" s="70"/>
      <c r="I622" s="70"/>
      <c r="J622" s="70"/>
      <c r="K622" s="70"/>
      <c r="L622" s="70"/>
      <c r="M622" s="70"/>
      <c r="AO622" s="80"/>
      <c r="AP622" s="80"/>
      <c r="AQ622" s="80"/>
      <c r="AR622" s="80"/>
      <c r="AS622" s="80"/>
      <c r="AT622" s="80"/>
    </row>
    <row r="623" spans="5:46" x14ac:dyDescent="0.25">
      <c r="E623" s="190"/>
      <c r="F623" s="110"/>
      <c r="G623" s="190"/>
      <c r="H623" s="70"/>
      <c r="I623" s="70"/>
      <c r="J623" s="70"/>
      <c r="K623" s="70"/>
      <c r="L623" s="70"/>
      <c r="M623" s="70"/>
      <c r="AO623" s="80"/>
      <c r="AP623" s="80"/>
      <c r="AQ623" s="80"/>
      <c r="AR623" s="80"/>
      <c r="AS623" s="80"/>
      <c r="AT623" s="80"/>
    </row>
    <row r="624" spans="5:46" x14ac:dyDescent="0.25">
      <c r="E624" s="190"/>
      <c r="F624" s="110"/>
      <c r="G624" s="190"/>
      <c r="H624" s="70"/>
      <c r="I624" s="70"/>
      <c r="J624" s="70"/>
      <c r="K624" s="70"/>
      <c r="L624" s="70"/>
      <c r="M624" s="70"/>
      <c r="AO624" s="80"/>
      <c r="AP624" s="80"/>
      <c r="AQ624" s="80"/>
      <c r="AR624" s="80"/>
      <c r="AS624" s="80"/>
      <c r="AT624" s="80"/>
    </row>
    <row r="625" spans="5:46" x14ac:dyDescent="0.25">
      <c r="E625" s="190"/>
      <c r="F625" s="110"/>
      <c r="G625" s="190"/>
      <c r="H625" s="70"/>
      <c r="I625" s="70"/>
      <c r="J625" s="70"/>
      <c r="K625" s="70"/>
      <c r="L625" s="70"/>
      <c r="M625" s="70"/>
      <c r="AO625" s="80"/>
      <c r="AP625" s="80"/>
      <c r="AQ625" s="80"/>
      <c r="AR625" s="80"/>
      <c r="AS625" s="80"/>
      <c r="AT625" s="80"/>
    </row>
    <row r="626" spans="5:46" x14ac:dyDescent="0.25">
      <c r="E626" s="190"/>
      <c r="F626" s="110"/>
      <c r="G626" s="190"/>
      <c r="H626" s="70"/>
      <c r="I626" s="70"/>
      <c r="J626" s="70"/>
      <c r="K626" s="70"/>
      <c r="L626" s="70"/>
      <c r="M626" s="70"/>
      <c r="AO626" s="80"/>
      <c r="AP626" s="80"/>
      <c r="AQ626" s="80"/>
      <c r="AR626" s="80"/>
      <c r="AS626" s="80"/>
      <c r="AT626" s="80"/>
    </row>
    <row r="627" spans="5:46" x14ac:dyDescent="0.25">
      <c r="E627" s="190"/>
      <c r="F627" s="110"/>
      <c r="G627" s="190"/>
      <c r="H627" s="70"/>
      <c r="I627" s="70"/>
      <c r="J627" s="70"/>
      <c r="K627" s="70"/>
      <c r="L627" s="70"/>
      <c r="M627" s="70"/>
      <c r="AO627" s="80"/>
      <c r="AP627" s="80"/>
      <c r="AQ627" s="80"/>
      <c r="AR627" s="80"/>
      <c r="AS627" s="80"/>
      <c r="AT627" s="80"/>
    </row>
    <row r="628" spans="5:46" x14ac:dyDescent="0.25">
      <c r="E628" s="190"/>
      <c r="F628" s="110"/>
      <c r="G628" s="190"/>
      <c r="H628" s="70"/>
      <c r="I628" s="70"/>
      <c r="J628" s="70"/>
      <c r="K628" s="70"/>
      <c r="L628" s="70"/>
      <c r="M628" s="70"/>
      <c r="AO628" s="80"/>
      <c r="AP628" s="80"/>
      <c r="AQ628" s="80"/>
      <c r="AR628" s="80"/>
      <c r="AS628" s="80"/>
      <c r="AT628" s="80"/>
    </row>
    <row r="629" spans="5:46" x14ac:dyDescent="0.25">
      <c r="E629" s="190"/>
      <c r="F629" s="110"/>
      <c r="G629" s="190"/>
      <c r="H629" s="70"/>
      <c r="I629" s="70"/>
      <c r="J629" s="70"/>
      <c r="K629" s="70"/>
      <c r="L629" s="70"/>
      <c r="M629" s="70"/>
    </row>
    <row r="630" spans="5:46" x14ac:dyDescent="0.25">
      <c r="E630" s="190"/>
      <c r="F630" s="110"/>
      <c r="G630" s="190"/>
      <c r="H630" s="70"/>
      <c r="I630" s="70"/>
      <c r="J630" s="70"/>
      <c r="K630" s="70"/>
      <c r="L630" s="70"/>
      <c r="M630" s="70"/>
    </row>
    <row r="631" spans="5:46" x14ac:dyDescent="0.25">
      <c r="E631" s="190"/>
      <c r="F631" s="110"/>
      <c r="G631" s="190"/>
      <c r="H631" s="70"/>
      <c r="I631" s="70"/>
      <c r="J631" s="70"/>
      <c r="K631" s="70"/>
      <c r="L631" s="70"/>
      <c r="M631" s="70"/>
    </row>
    <row r="632" spans="5:46" x14ac:dyDescent="0.25">
      <c r="E632" s="190"/>
      <c r="F632" s="110"/>
      <c r="G632" s="190"/>
      <c r="H632" s="70"/>
      <c r="I632" s="70"/>
      <c r="J632" s="70"/>
      <c r="K632" s="70"/>
      <c r="L632" s="70"/>
      <c r="M632" s="70"/>
    </row>
    <row r="633" spans="5:46" x14ac:dyDescent="0.25">
      <c r="E633" s="190"/>
      <c r="F633" s="110"/>
      <c r="G633" s="190"/>
      <c r="H633" s="70"/>
      <c r="I633" s="70"/>
      <c r="J633" s="70"/>
      <c r="K633" s="70"/>
      <c r="L633" s="70"/>
      <c r="M633" s="70"/>
    </row>
    <row r="634" spans="5:46" x14ac:dyDescent="0.25">
      <c r="E634" s="190"/>
      <c r="F634" s="110"/>
      <c r="G634" s="190"/>
      <c r="H634" s="70"/>
      <c r="I634" s="70"/>
      <c r="J634" s="70"/>
      <c r="K634" s="70"/>
      <c r="L634" s="70"/>
      <c r="M634" s="70"/>
    </row>
    <row r="635" spans="5:46" x14ac:dyDescent="0.25">
      <c r="E635" s="190"/>
      <c r="F635" s="110"/>
      <c r="G635" s="190"/>
      <c r="H635" s="70"/>
      <c r="I635" s="70"/>
      <c r="J635" s="70"/>
      <c r="K635" s="70"/>
      <c r="L635" s="70"/>
      <c r="M635" s="70"/>
    </row>
    <row r="636" spans="5:46" x14ac:dyDescent="0.25">
      <c r="E636" s="190"/>
      <c r="F636" s="110"/>
      <c r="G636" s="190"/>
      <c r="H636" s="70"/>
      <c r="I636" s="70"/>
      <c r="J636" s="70"/>
      <c r="K636" s="70"/>
      <c r="L636" s="70"/>
      <c r="M636" s="70"/>
    </row>
    <row r="637" spans="5:46" x14ac:dyDescent="0.25">
      <c r="E637" s="190"/>
      <c r="F637" s="110"/>
      <c r="G637" s="190"/>
      <c r="H637" s="70"/>
      <c r="I637" s="70"/>
      <c r="J637" s="70"/>
      <c r="K637" s="70"/>
      <c r="L637" s="70"/>
      <c r="M637" s="70"/>
    </row>
    <row r="638" spans="5:46" x14ac:dyDescent="0.25">
      <c r="E638" s="190"/>
      <c r="F638" s="110"/>
      <c r="G638" s="190"/>
      <c r="H638" s="70"/>
      <c r="I638" s="70"/>
      <c r="J638" s="70"/>
      <c r="K638" s="70"/>
      <c r="L638" s="70"/>
      <c r="M638" s="70"/>
    </row>
    <row r="639" spans="5:46" x14ac:dyDescent="0.25">
      <c r="E639" s="190"/>
      <c r="F639" s="110"/>
      <c r="G639" s="190"/>
      <c r="H639" s="70"/>
      <c r="I639" s="70"/>
      <c r="J639" s="70"/>
      <c r="K639" s="70"/>
      <c r="L639" s="70"/>
      <c r="M639" s="70"/>
    </row>
    <row r="640" spans="5:46" x14ac:dyDescent="0.25">
      <c r="E640" s="190"/>
      <c r="F640" s="110"/>
      <c r="G640" s="190"/>
      <c r="H640" s="70"/>
      <c r="I640" s="70"/>
      <c r="J640" s="70"/>
      <c r="K640" s="70"/>
      <c r="L640" s="70"/>
      <c r="M640" s="70"/>
    </row>
    <row r="641" spans="5:13" x14ac:dyDescent="0.25">
      <c r="E641" s="190"/>
      <c r="F641" s="110"/>
      <c r="G641" s="190"/>
      <c r="H641" s="70"/>
      <c r="I641" s="70"/>
      <c r="J641" s="70"/>
      <c r="K641" s="70"/>
      <c r="L641" s="70"/>
      <c r="M641" s="70"/>
    </row>
    <row r="642" spans="5:13" x14ac:dyDescent="0.25">
      <c r="E642" s="190"/>
      <c r="F642" s="110"/>
      <c r="G642" s="190"/>
      <c r="H642" s="70"/>
      <c r="I642" s="70"/>
      <c r="J642" s="70"/>
      <c r="K642" s="70"/>
      <c r="L642" s="70"/>
      <c r="M642" s="70"/>
    </row>
    <row r="643" spans="5:13" x14ac:dyDescent="0.25">
      <c r="E643" s="190"/>
      <c r="F643" s="110"/>
      <c r="G643" s="190"/>
      <c r="H643" s="70"/>
      <c r="I643" s="70"/>
      <c r="J643" s="70"/>
      <c r="K643" s="70"/>
      <c r="L643" s="70"/>
      <c r="M643" s="70"/>
    </row>
    <row r="644" spans="5:13" x14ac:dyDescent="0.25">
      <c r="E644" s="190"/>
      <c r="F644" s="110"/>
      <c r="G644" s="190"/>
      <c r="H644" s="70"/>
      <c r="I644" s="70"/>
      <c r="J644" s="70"/>
      <c r="K644" s="70"/>
      <c r="L644" s="70"/>
      <c r="M644" s="70"/>
    </row>
    <row r="645" spans="5:13" x14ac:dyDescent="0.25">
      <c r="E645" s="190"/>
      <c r="F645" s="110"/>
      <c r="G645" s="190"/>
      <c r="H645" s="70"/>
      <c r="I645" s="70"/>
      <c r="J645" s="70"/>
      <c r="K645" s="70"/>
      <c r="L645" s="70"/>
      <c r="M645" s="70"/>
    </row>
    <row r="646" spans="5:13" x14ac:dyDescent="0.25">
      <c r="E646" s="190"/>
      <c r="F646" s="110"/>
      <c r="G646" s="190"/>
      <c r="H646" s="70"/>
      <c r="I646" s="70"/>
      <c r="J646" s="70"/>
      <c r="K646" s="70"/>
      <c r="L646" s="70"/>
      <c r="M646" s="70"/>
    </row>
    <row r="647" spans="5:13" x14ac:dyDescent="0.25">
      <c r="E647" s="190"/>
      <c r="F647" s="110"/>
      <c r="G647" s="190"/>
      <c r="H647" s="70"/>
      <c r="I647" s="70"/>
      <c r="J647" s="70"/>
      <c r="K647" s="70"/>
      <c r="L647" s="70"/>
      <c r="M647" s="70"/>
    </row>
    <row r="648" spans="5:13" x14ac:dyDescent="0.25">
      <c r="E648" s="190"/>
      <c r="F648" s="110"/>
      <c r="G648" s="190"/>
      <c r="H648" s="70"/>
      <c r="I648" s="70"/>
      <c r="J648" s="70"/>
      <c r="K648" s="70"/>
      <c r="L648" s="70"/>
      <c r="M648" s="70"/>
    </row>
    <row r="649" spans="5:13" x14ac:dyDescent="0.25">
      <c r="E649" s="190"/>
      <c r="F649" s="110"/>
      <c r="G649" s="190"/>
      <c r="H649" s="70"/>
      <c r="I649" s="70"/>
      <c r="J649" s="70"/>
      <c r="K649" s="70"/>
      <c r="L649" s="70"/>
      <c r="M649" s="70"/>
    </row>
    <row r="650" spans="5:13" x14ac:dyDescent="0.25">
      <c r="E650" s="190"/>
      <c r="F650" s="110"/>
      <c r="G650" s="190"/>
      <c r="H650" s="70"/>
      <c r="I650" s="70"/>
      <c r="J650" s="70"/>
      <c r="K650" s="70"/>
      <c r="L650" s="70"/>
      <c r="M650" s="70"/>
    </row>
    <row r="651" spans="5:13" x14ac:dyDescent="0.25">
      <c r="E651" s="190"/>
      <c r="F651" s="110"/>
      <c r="G651" s="190"/>
      <c r="H651" s="70"/>
      <c r="I651" s="70"/>
      <c r="J651" s="70"/>
      <c r="K651" s="70"/>
      <c r="L651" s="70"/>
      <c r="M651" s="70"/>
    </row>
    <row r="652" spans="5:13" x14ac:dyDescent="0.25">
      <c r="E652" s="190"/>
      <c r="F652" s="110"/>
      <c r="G652" s="190"/>
      <c r="H652" s="70"/>
      <c r="I652" s="70"/>
      <c r="J652" s="70"/>
      <c r="K652" s="70"/>
      <c r="L652" s="70"/>
      <c r="M652" s="70"/>
    </row>
    <row r="653" spans="5:13" x14ac:dyDescent="0.25">
      <c r="E653" s="190"/>
      <c r="F653" s="110"/>
      <c r="G653" s="190"/>
      <c r="H653" s="70"/>
      <c r="I653" s="70"/>
      <c r="J653" s="70"/>
      <c r="K653" s="70"/>
      <c r="L653" s="70"/>
      <c r="M653" s="70"/>
    </row>
    <row r="654" spans="5:13" x14ac:dyDescent="0.25">
      <c r="E654" s="190"/>
      <c r="F654" s="110"/>
      <c r="G654" s="190"/>
      <c r="H654" s="70"/>
      <c r="I654" s="70"/>
      <c r="J654" s="70"/>
      <c r="K654" s="70"/>
      <c r="L654" s="70"/>
      <c r="M654" s="70"/>
    </row>
    <row r="655" spans="5:13" x14ac:dyDescent="0.25">
      <c r="E655" s="190"/>
      <c r="F655" s="110"/>
      <c r="G655" s="190"/>
      <c r="H655" s="70"/>
      <c r="I655" s="70"/>
      <c r="J655" s="70"/>
      <c r="K655" s="70"/>
      <c r="L655" s="70"/>
      <c r="M655" s="70"/>
    </row>
    <row r="656" spans="5:13" x14ac:dyDescent="0.25">
      <c r="E656" s="190"/>
      <c r="F656" s="110"/>
      <c r="G656" s="190"/>
      <c r="H656" s="70"/>
      <c r="I656" s="70"/>
      <c r="J656" s="70"/>
      <c r="K656" s="70"/>
      <c r="L656" s="70"/>
      <c r="M656" s="70"/>
    </row>
    <row r="657" spans="5:13" x14ac:dyDescent="0.25">
      <c r="E657" s="190"/>
      <c r="F657" s="110"/>
      <c r="G657" s="190"/>
      <c r="H657" s="70"/>
      <c r="I657" s="70"/>
      <c r="J657" s="70"/>
      <c r="K657" s="70"/>
      <c r="L657" s="70"/>
      <c r="M657" s="70"/>
    </row>
    <row r="658" spans="5:13" x14ac:dyDescent="0.25">
      <c r="E658" s="190"/>
      <c r="F658" s="110"/>
      <c r="G658" s="190"/>
      <c r="H658" s="70"/>
      <c r="I658" s="70"/>
      <c r="J658" s="70"/>
      <c r="K658" s="70"/>
      <c r="L658" s="70"/>
      <c r="M658" s="70"/>
    </row>
    <row r="659" spans="5:13" x14ac:dyDescent="0.25">
      <c r="E659" s="190"/>
      <c r="F659" s="110"/>
      <c r="G659" s="190"/>
      <c r="H659" s="70"/>
      <c r="I659" s="70"/>
      <c r="J659" s="70"/>
      <c r="K659" s="70"/>
      <c r="L659" s="70"/>
      <c r="M659" s="70"/>
    </row>
    <row r="660" spans="5:13" x14ac:dyDescent="0.25">
      <c r="E660" s="190"/>
      <c r="F660" s="110"/>
      <c r="G660" s="190"/>
      <c r="H660" s="70"/>
      <c r="I660" s="70"/>
      <c r="J660" s="70"/>
      <c r="K660" s="70"/>
      <c r="L660" s="70"/>
      <c r="M660" s="70"/>
    </row>
    <row r="661" spans="5:13" x14ac:dyDescent="0.25">
      <c r="E661" s="190"/>
      <c r="F661" s="110"/>
      <c r="G661" s="190"/>
      <c r="H661" s="70"/>
      <c r="I661" s="70"/>
      <c r="J661" s="70"/>
      <c r="K661" s="70"/>
      <c r="L661" s="70"/>
      <c r="M661" s="70"/>
    </row>
    <row r="662" spans="5:13" x14ac:dyDescent="0.25">
      <c r="E662" s="190"/>
      <c r="F662" s="110"/>
      <c r="G662" s="190"/>
      <c r="H662" s="70"/>
      <c r="I662" s="70"/>
      <c r="J662" s="70"/>
      <c r="K662" s="70"/>
      <c r="L662" s="70"/>
      <c r="M662" s="70"/>
    </row>
    <row r="663" spans="5:13" x14ac:dyDescent="0.25">
      <c r="E663" s="190"/>
      <c r="F663" s="110"/>
      <c r="G663" s="190"/>
      <c r="H663" s="70"/>
      <c r="I663" s="70"/>
      <c r="J663" s="70"/>
      <c r="K663" s="70"/>
      <c r="L663" s="70"/>
      <c r="M663" s="70"/>
    </row>
    <row r="664" spans="5:13" x14ac:dyDescent="0.25">
      <c r="E664" s="190"/>
      <c r="F664" s="110"/>
      <c r="G664" s="190"/>
      <c r="H664" s="70"/>
      <c r="I664" s="70"/>
      <c r="J664" s="70"/>
      <c r="K664" s="70"/>
      <c r="L664" s="70"/>
      <c r="M664" s="70"/>
    </row>
    <row r="665" spans="5:13" x14ac:dyDescent="0.25">
      <c r="E665" s="190"/>
      <c r="F665" s="110"/>
      <c r="G665" s="190"/>
      <c r="H665" s="70"/>
      <c r="I665" s="70"/>
      <c r="J665" s="70"/>
      <c r="K665" s="70"/>
      <c r="L665" s="70"/>
      <c r="M665" s="70"/>
    </row>
    <row r="666" spans="5:13" x14ac:dyDescent="0.25">
      <c r="E666" s="190"/>
      <c r="F666" s="110"/>
      <c r="G666" s="190"/>
      <c r="H666" s="70"/>
      <c r="I666" s="70"/>
      <c r="J666" s="70"/>
      <c r="K666" s="70"/>
      <c r="L666" s="70"/>
      <c r="M666" s="70"/>
    </row>
  </sheetData>
  <autoFilter ref="C111:BI635" xr:uid="{51D9B7A4-10FE-4B93-99B5-869A925749E9}"/>
  <mergeCells count="4">
    <mergeCell ref="S47:T47"/>
    <mergeCell ref="M47:N47"/>
    <mergeCell ref="I47:J47"/>
    <mergeCell ref="X47:Y47"/>
  </mergeCells>
  <conditionalFormatting sqref="E72">
    <cfRule type="cellIs" dxfId="116" priority="65" operator="greaterThan">
      <formula>0</formula>
    </cfRule>
  </conditionalFormatting>
  <conditionalFormatting sqref="E73">
    <cfRule type="cellIs" dxfId="115" priority="64" operator="greaterThan">
      <formula>0</formula>
    </cfRule>
  </conditionalFormatting>
  <conditionalFormatting sqref="R72">
    <cfRule type="cellIs" dxfId="114" priority="63" operator="greaterThan">
      <formula>0</formula>
    </cfRule>
  </conditionalFormatting>
  <conditionalFormatting sqref="R73">
    <cfRule type="cellIs" dxfId="113" priority="62" operator="greaterThan">
      <formula>0</formula>
    </cfRule>
  </conditionalFormatting>
  <conditionalFormatting sqref="N86:P87 J55 V52:V55 Q50 L48:L49 Y50:AA50 W48:W49 Z48:AA49">
    <cfRule type="containsText" dxfId="112" priority="61" operator="containsText" text="no">
      <formula>NOT(ISERROR(SEARCH("no",J48)))</formula>
    </cfRule>
  </conditionalFormatting>
  <conditionalFormatting sqref="AC86:AC87">
    <cfRule type="containsText" dxfId="111" priority="60" operator="containsText" text="no">
      <formula>NOT(ISERROR(SEARCH("no",AC86)))</formula>
    </cfRule>
  </conditionalFormatting>
  <conditionalFormatting sqref="S40:S41">
    <cfRule type="containsText" dxfId="110" priority="27" operator="containsText" text="f">
      <formula>NOT(ISERROR(SEARCH("f",S40)))</formula>
    </cfRule>
    <cfRule type="containsText" dxfId="109" priority="28" operator="containsText" text="e">
      <formula>NOT(ISERROR(SEARCH("e",S40)))</formula>
    </cfRule>
  </conditionalFormatting>
  <conditionalFormatting sqref="H39">
    <cfRule type="containsText" dxfId="108" priority="41" operator="containsText" text="f">
      <formula>NOT(ISERROR(SEARCH("f",H39)))</formula>
    </cfRule>
    <cfRule type="containsText" dxfId="107" priority="42" operator="containsText" text="e">
      <formula>NOT(ISERROR(SEARCH("e",H39)))</formula>
    </cfRule>
  </conditionalFormatting>
  <conditionalFormatting sqref="J41:L41 K40:L40">
    <cfRule type="containsText" dxfId="106" priority="39" operator="containsText" text="f">
      <formula>NOT(ISERROR(SEARCH("f",J40)))</formula>
    </cfRule>
    <cfRule type="containsText" dxfId="105" priority="40" operator="containsText" text="e">
      <formula>NOT(ISERROR(SEARCH("e",J40)))</formula>
    </cfRule>
  </conditionalFormatting>
  <conditionalFormatting sqref="T40:X41">
    <cfRule type="containsText" dxfId="104" priority="35" operator="containsText" text="f">
      <formula>NOT(ISERROR(SEARCH("f",T40)))</formula>
    </cfRule>
    <cfRule type="containsText" dxfId="103" priority="36" operator="containsText" text="e">
      <formula>NOT(ISERROR(SEARCH("e",T40)))</formula>
    </cfRule>
  </conditionalFormatting>
  <conditionalFormatting sqref="Y40:AA41">
    <cfRule type="containsText" dxfId="102" priority="23" operator="containsText" text="f">
      <formula>NOT(ISERROR(SEARCH("f",Y40)))</formula>
    </cfRule>
    <cfRule type="containsText" dxfId="101" priority="24" operator="containsText" text="e">
      <formula>NOT(ISERROR(SEARCH("e",Y40)))</formula>
    </cfRule>
  </conditionalFormatting>
  <conditionalFormatting sqref="J39:Q39">
    <cfRule type="containsText" dxfId="100" priority="33" operator="containsText" text="f">
      <formula>NOT(ISERROR(SEARCH("f",J39)))</formula>
    </cfRule>
    <cfRule type="containsText" dxfId="99" priority="34" operator="containsText" text="e">
      <formula>NOT(ISERROR(SEARCH("e",J39)))</formula>
    </cfRule>
  </conditionalFormatting>
  <conditionalFormatting sqref="S39:AA39">
    <cfRule type="containsText" dxfId="98" priority="31" operator="containsText" text="f">
      <formula>NOT(ISERROR(SEARCH("f",S39)))</formula>
    </cfRule>
    <cfRule type="containsText" dxfId="97" priority="32" operator="containsText" text="e">
      <formula>NOT(ISERROR(SEARCH("e",S39)))</formula>
    </cfRule>
  </conditionalFormatting>
  <conditionalFormatting sqref="I40:I41">
    <cfRule type="containsText" dxfId="96" priority="29" operator="containsText" text="f">
      <formula>NOT(ISERROR(SEARCH("f",I40)))</formula>
    </cfRule>
    <cfRule type="containsText" dxfId="95" priority="30" operator="containsText" text="e">
      <formula>NOT(ISERROR(SEARCH("e",I40)))</formula>
    </cfRule>
  </conditionalFormatting>
  <conditionalFormatting sqref="J40">
    <cfRule type="containsText" dxfId="94" priority="19" operator="containsText" text="f">
      <formula>NOT(ISERROR(SEARCH("f",J40)))</formula>
    </cfRule>
    <cfRule type="containsText" dxfId="93" priority="20" operator="containsText" text="e">
      <formula>NOT(ISERROR(SEARCH("e",J40)))</formula>
    </cfRule>
  </conditionalFormatting>
  <conditionalFormatting sqref="M40:Q41">
    <cfRule type="containsText" dxfId="92" priority="17" operator="containsText" text="f">
      <formula>NOT(ISERROR(SEARCH("f",M40)))</formula>
    </cfRule>
    <cfRule type="containsText" dxfId="91" priority="18" operator="containsText" text="e">
      <formula>NOT(ISERROR(SEARCH("e",M40)))</formula>
    </cfRule>
  </conditionalFormatting>
  <conditionalFormatting sqref="G39">
    <cfRule type="containsText" dxfId="90" priority="15" operator="containsText" text="f">
      <formula>NOT(ISERROR(SEARCH("f",G39)))</formula>
    </cfRule>
    <cfRule type="containsText" dxfId="89" priority="16" operator="containsText" text="e">
      <formula>NOT(ISERROR(SEARCH("e",G39)))</formula>
    </cfRule>
  </conditionalFormatting>
  <conditionalFormatting sqref="N91:N92">
    <cfRule type="containsText" dxfId="88" priority="14" operator="containsText" text="no">
      <formula>NOT(ISERROR(SEARCH("no",N91)))</formula>
    </cfRule>
  </conditionalFormatting>
  <conditionalFormatting sqref="AA91:AA92">
    <cfRule type="containsText" dxfId="87" priority="13" operator="containsText" text="no">
      <formula>NOT(ISERROR(SEARCH("no",AA91)))</formula>
    </cfRule>
  </conditionalFormatting>
  <conditionalFormatting sqref="P48:P49">
    <cfRule type="containsText" dxfId="86" priority="12" operator="containsText" text="no">
      <formula>NOT(ISERROR(SEARCH("no",P48)))</formula>
    </cfRule>
  </conditionalFormatting>
  <conditionalFormatting sqref="S55:T56">
    <cfRule type="containsText" dxfId="85" priority="11" operator="containsText" text="no">
      <formula>NOT(ISERROR(SEARCH("no",S55)))</formula>
    </cfRule>
  </conditionalFormatting>
  <conditionalFormatting sqref="AB48">
    <cfRule type="containsText" dxfId="84" priority="10" operator="containsText" text="no">
      <formula>NOT(ISERROR(SEARCH("no",AB48)))</formula>
    </cfRule>
  </conditionalFormatting>
  <conditionalFormatting sqref="AB49">
    <cfRule type="containsText" dxfId="83" priority="8" operator="containsText" text="no">
      <formula>NOT(ISERROR(SEARCH("no",AB49)))</formula>
    </cfRule>
  </conditionalFormatting>
  <conditionalFormatting sqref="W82:AC82">
    <cfRule type="containsText" dxfId="82" priority="5" operator="containsText" text="no">
      <formula>NOT(ISERROR(SEARCH("no",W82)))</formula>
    </cfRule>
  </conditionalFormatting>
  <conditionalFormatting sqref="U82">
    <cfRule type="containsText" dxfId="81" priority="7" operator="containsText" text="no">
      <formula>NOT(ISERROR(SEARCH("no",U82)))</formula>
    </cfRule>
  </conditionalFormatting>
  <conditionalFormatting sqref="V82">
    <cfRule type="containsText" dxfId="80" priority="6" operator="containsText" text="no">
      <formula>NOT(ISERROR(SEARCH("no",V82)))</formula>
    </cfRule>
  </conditionalFormatting>
  <conditionalFormatting sqref="I44">
    <cfRule type="cellIs" dxfId="79" priority="2" operator="greaterThan">
      <formula>0</formula>
    </cfRule>
  </conditionalFormatting>
  <conditionalFormatting sqref="I45">
    <cfRule type="cellIs" dxfId="78" priority="1" operator="greaterThan">
      <formula>0</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5605" r:id="rId4" name="Drop Down 5">
              <controlPr defaultSize="0" autoLine="0" autoPict="0">
                <anchor moveWithCells="1">
                  <from>
                    <xdr:col>7</xdr:col>
                    <xdr:colOff>251460</xdr:colOff>
                    <xdr:row>4</xdr:row>
                    <xdr:rowOff>22860</xdr:rowOff>
                  </from>
                  <to>
                    <xdr:col>10</xdr:col>
                    <xdr:colOff>22860</xdr:colOff>
                    <xdr:row>5</xdr:row>
                    <xdr:rowOff>83820</xdr:rowOff>
                  </to>
                </anchor>
              </controlPr>
            </control>
          </mc:Choice>
        </mc:AlternateContent>
        <mc:AlternateContent xmlns:mc="http://schemas.openxmlformats.org/markup-compatibility/2006">
          <mc:Choice Requires="x14">
            <control shapeId="25606" r:id="rId5" name="Drop Down 6">
              <controlPr defaultSize="0" autoLine="0" autoPict="0">
                <anchor moveWithCells="1">
                  <from>
                    <xdr:col>7</xdr:col>
                    <xdr:colOff>266700</xdr:colOff>
                    <xdr:row>6</xdr:row>
                    <xdr:rowOff>0</xdr:rowOff>
                  </from>
                  <to>
                    <xdr:col>10</xdr:col>
                    <xdr:colOff>45720</xdr:colOff>
                    <xdr:row>7</xdr:row>
                    <xdr:rowOff>22860</xdr:rowOff>
                  </to>
                </anchor>
              </controlPr>
            </control>
          </mc:Choice>
        </mc:AlternateContent>
        <mc:AlternateContent xmlns:mc="http://schemas.openxmlformats.org/markup-compatibility/2006">
          <mc:Choice Requires="x14">
            <control shapeId="25607" r:id="rId6" name="Drop Down 7">
              <controlPr defaultSize="0" autoLine="0" autoPict="0">
                <anchor moveWithCells="1">
                  <from>
                    <xdr:col>7</xdr:col>
                    <xdr:colOff>266700</xdr:colOff>
                    <xdr:row>8</xdr:row>
                    <xdr:rowOff>0</xdr:rowOff>
                  </from>
                  <to>
                    <xdr:col>10</xdr:col>
                    <xdr:colOff>22860</xdr:colOff>
                    <xdr:row>9</xdr:row>
                    <xdr:rowOff>60960</xdr:rowOff>
                  </to>
                </anchor>
              </controlPr>
            </control>
          </mc:Choice>
        </mc:AlternateContent>
        <mc:AlternateContent xmlns:mc="http://schemas.openxmlformats.org/markup-compatibility/2006">
          <mc:Choice Requires="x14">
            <control shapeId="25601" r:id="rId7" name="Drop Down 1">
              <controlPr defaultSize="0" autoLine="0" autoPict="0">
                <anchor moveWithCells="1">
                  <from>
                    <xdr:col>5</xdr:col>
                    <xdr:colOff>251460</xdr:colOff>
                    <xdr:row>4</xdr:row>
                    <xdr:rowOff>7620</xdr:rowOff>
                  </from>
                  <to>
                    <xdr:col>6</xdr:col>
                    <xdr:colOff>708660</xdr:colOff>
                    <xdr:row>5</xdr:row>
                    <xdr:rowOff>68580</xdr:rowOff>
                  </to>
                </anchor>
              </controlPr>
            </control>
          </mc:Choice>
        </mc:AlternateContent>
        <mc:AlternateContent xmlns:mc="http://schemas.openxmlformats.org/markup-compatibility/2006">
          <mc:Choice Requires="x14">
            <control shapeId="25602" r:id="rId8" name="Drop Down 2">
              <controlPr defaultSize="0" autoLine="0" autoPict="0">
                <anchor moveWithCells="1">
                  <from>
                    <xdr:col>5</xdr:col>
                    <xdr:colOff>251460</xdr:colOff>
                    <xdr:row>5</xdr:row>
                    <xdr:rowOff>182880</xdr:rowOff>
                  </from>
                  <to>
                    <xdr:col>6</xdr:col>
                    <xdr:colOff>708660</xdr:colOff>
                    <xdr:row>7</xdr:row>
                    <xdr:rowOff>0</xdr:rowOff>
                  </to>
                </anchor>
              </controlPr>
            </control>
          </mc:Choice>
        </mc:AlternateContent>
        <mc:AlternateContent xmlns:mc="http://schemas.openxmlformats.org/markup-compatibility/2006">
          <mc:Choice Requires="x14">
            <control shapeId="25603" r:id="rId9" name="Drop Down 3">
              <controlPr defaultSize="0" autoLine="0" autoPict="0">
                <anchor moveWithCells="1">
                  <from>
                    <xdr:col>5</xdr:col>
                    <xdr:colOff>251460</xdr:colOff>
                    <xdr:row>7</xdr:row>
                    <xdr:rowOff>182880</xdr:rowOff>
                  </from>
                  <to>
                    <xdr:col>6</xdr:col>
                    <xdr:colOff>708660</xdr:colOff>
                    <xdr:row>9</xdr:row>
                    <xdr:rowOff>60960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FB0D5-809C-45E1-8EEF-C87FAA4536AF}">
  <dimension ref="B1:BP670"/>
  <sheetViews>
    <sheetView showZeros="0" zoomScale="70" zoomScaleNormal="70" workbookViewId="0">
      <selection activeCell="N160" sqref="N160"/>
    </sheetView>
  </sheetViews>
  <sheetFormatPr defaultColWidth="9.109375" defaultRowHeight="12" x14ac:dyDescent="0.3"/>
  <cols>
    <col min="1" max="1" width="4.44140625" style="83" customWidth="1"/>
    <col min="2" max="2" width="9.109375" style="11" hidden="1" customWidth="1"/>
    <col min="3" max="4" width="4" style="82" customWidth="1"/>
    <col min="5" max="5" width="6.44140625" style="180" customWidth="1"/>
    <col min="6" max="6" width="25.33203125" style="107" customWidth="1"/>
    <col min="7" max="7" width="16.33203125" style="111" customWidth="1"/>
    <col min="8" max="8" width="14.5546875" style="56" customWidth="1"/>
    <col min="9" max="16" width="10.5546875" style="56" customWidth="1"/>
    <col min="17" max="17" width="10.5546875" style="83" customWidth="1"/>
    <col min="18" max="18" width="9.109375" style="108"/>
    <col min="19" max="27" width="9.109375" style="83" customWidth="1"/>
    <col min="28" max="28" width="9.109375" style="83"/>
    <col min="29" max="29" width="9.109375" style="108" customWidth="1"/>
    <col min="30" max="39" width="9.109375" style="83" hidden="1" customWidth="1"/>
    <col min="40" max="40" width="0" style="108" hidden="1" customWidth="1"/>
    <col min="41" max="43" width="9.109375" style="83" hidden="1" customWidth="1"/>
    <col min="44" max="46" width="0" style="83" hidden="1" customWidth="1"/>
    <col min="47" max="49" width="9.109375" style="83"/>
    <col min="50" max="51" width="9.109375" style="108"/>
    <col min="52" max="60" width="9.109375" style="83"/>
    <col min="61" max="68" width="9.109375" style="108"/>
    <col min="69" max="16384" width="9.109375" style="83"/>
  </cols>
  <sheetData>
    <row r="1" spans="2:47" ht="12.6" thickBot="1" x14ac:dyDescent="0.35"/>
    <row r="2" spans="2:47" x14ac:dyDescent="0.3">
      <c r="E2" s="139"/>
      <c r="F2" s="57"/>
      <c r="G2" s="57"/>
      <c r="H2" s="57"/>
      <c r="I2" s="57"/>
      <c r="J2" s="57"/>
      <c r="K2" s="57"/>
      <c r="L2" s="57"/>
      <c r="M2" s="57"/>
      <c r="N2" s="57"/>
      <c r="O2" s="57"/>
      <c r="P2" s="57"/>
      <c r="Q2" s="140"/>
      <c r="R2" s="140"/>
      <c r="S2" s="140"/>
      <c r="T2" s="140"/>
      <c r="U2" s="140"/>
      <c r="V2" s="140"/>
      <c r="W2" s="140"/>
      <c r="X2" s="140"/>
      <c r="Y2" s="140"/>
      <c r="Z2" s="140"/>
      <c r="AA2" s="140"/>
      <c r="AB2" s="140"/>
      <c r="AC2" s="140"/>
      <c r="AD2" s="141"/>
      <c r="AQ2" s="123" t="s">
        <v>133</v>
      </c>
      <c r="AU2" s="258"/>
    </row>
    <row r="3" spans="2:47" x14ac:dyDescent="0.3">
      <c r="B3" s="82" t="s">
        <v>103</v>
      </c>
      <c r="E3" s="142"/>
      <c r="F3" s="58"/>
      <c r="G3" s="58"/>
      <c r="H3" s="58"/>
      <c r="I3" s="55"/>
      <c r="J3" s="58"/>
      <c r="K3" s="55"/>
      <c r="L3" s="55"/>
      <c r="M3" s="99"/>
      <c r="N3" s="55"/>
      <c r="O3" s="55"/>
      <c r="P3" s="55"/>
      <c r="Q3" s="99"/>
      <c r="R3" s="99"/>
      <c r="S3" s="99"/>
      <c r="T3" s="99"/>
      <c r="U3" s="99"/>
      <c r="V3" s="99"/>
      <c r="W3" s="99"/>
      <c r="X3" s="99"/>
      <c r="Y3" s="99"/>
      <c r="Z3" s="99"/>
      <c r="AA3" s="99"/>
      <c r="AB3" s="99"/>
      <c r="AC3" s="99"/>
      <c r="AD3" s="143"/>
      <c r="AQ3" s="123" t="s">
        <v>134</v>
      </c>
      <c r="AU3" s="230"/>
    </row>
    <row r="4" spans="2:47" ht="31.2" x14ac:dyDescent="0.3">
      <c r="B4" s="82" t="s">
        <v>104</v>
      </c>
      <c r="E4" s="144"/>
      <c r="F4" s="277" t="s">
        <v>47</v>
      </c>
      <c r="G4" s="55"/>
      <c r="H4" s="55"/>
      <c r="I4" s="210" t="s">
        <v>193</v>
      </c>
      <c r="J4" s="55"/>
      <c r="K4" s="55"/>
      <c r="L4" s="55"/>
      <c r="M4" s="99"/>
      <c r="N4" s="55"/>
      <c r="O4" s="55"/>
      <c r="P4" s="55"/>
      <c r="Q4" s="99"/>
      <c r="R4" s="99"/>
      <c r="S4" s="99"/>
      <c r="T4" s="99"/>
      <c r="U4" s="99"/>
      <c r="V4" s="99"/>
      <c r="W4" s="99"/>
      <c r="X4" s="99"/>
      <c r="Y4" s="99"/>
      <c r="Z4" s="99"/>
      <c r="AA4" s="99"/>
      <c r="AB4" s="99"/>
      <c r="AC4" s="99"/>
      <c r="AD4" s="143"/>
      <c r="AQ4" s="83" t="s">
        <v>142</v>
      </c>
      <c r="AU4" s="230"/>
    </row>
    <row r="5" spans="2:47" x14ac:dyDescent="0.3">
      <c r="B5" s="82" t="s">
        <v>105</v>
      </c>
      <c r="E5" s="144"/>
      <c r="F5" s="55"/>
      <c r="G5" s="55"/>
      <c r="H5" s="55"/>
      <c r="I5" s="55"/>
      <c r="J5" s="55"/>
      <c r="K5" s="55"/>
      <c r="L5" s="55"/>
      <c r="M5" s="99"/>
      <c r="N5" s="55"/>
      <c r="O5" s="55"/>
      <c r="P5" s="55"/>
      <c r="Q5" s="99"/>
      <c r="R5" s="99"/>
      <c r="S5" s="99"/>
      <c r="T5" s="99"/>
      <c r="U5" s="99"/>
      <c r="V5" s="99"/>
      <c r="W5" s="99"/>
      <c r="X5" s="99"/>
      <c r="Y5" s="99"/>
      <c r="Z5" s="99"/>
      <c r="AA5" s="99"/>
      <c r="AB5" s="99"/>
      <c r="AC5" s="99"/>
      <c r="AD5" s="143"/>
      <c r="AU5" s="230"/>
    </row>
    <row r="6" spans="2:47" ht="15.6" x14ac:dyDescent="0.3">
      <c r="B6" s="82" t="s">
        <v>106</v>
      </c>
      <c r="E6" s="144"/>
      <c r="F6" s="55"/>
      <c r="G6" s="55"/>
      <c r="H6" s="55"/>
      <c r="I6" s="211" t="s">
        <v>195</v>
      </c>
      <c r="J6" s="55"/>
      <c r="K6" s="55"/>
      <c r="L6" s="55"/>
      <c r="M6" s="99"/>
      <c r="N6" s="58"/>
      <c r="O6" s="58"/>
      <c r="P6" s="58"/>
      <c r="Q6" s="145"/>
      <c r="R6" s="145"/>
      <c r="S6" s="145"/>
      <c r="T6" s="145"/>
      <c r="U6" s="145"/>
      <c r="V6" s="145"/>
      <c r="W6" s="99"/>
      <c r="X6" s="99"/>
      <c r="Y6" s="99"/>
      <c r="Z6" s="99"/>
      <c r="AA6" s="99"/>
      <c r="AB6" s="99"/>
      <c r="AC6" s="99"/>
      <c r="AD6" s="143"/>
      <c r="AU6" s="230"/>
    </row>
    <row r="7" spans="2:47" ht="15.6" x14ac:dyDescent="0.3">
      <c r="B7" s="82" t="s">
        <v>56</v>
      </c>
      <c r="E7" s="144"/>
      <c r="F7" s="55"/>
      <c r="G7" s="55"/>
      <c r="H7" s="55"/>
      <c r="I7" s="211" t="s">
        <v>196</v>
      </c>
      <c r="J7" s="55"/>
      <c r="K7" s="55"/>
      <c r="L7" s="55"/>
      <c r="M7" s="99"/>
      <c r="N7" s="58"/>
      <c r="O7" s="58"/>
      <c r="P7" s="58"/>
      <c r="Q7" s="145"/>
      <c r="R7" s="145"/>
      <c r="S7" s="145"/>
      <c r="T7" s="145"/>
      <c r="U7" s="145"/>
      <c r="V7" s="145"/>
      <c r="W7" s="99"/>
      <c r="X7" s="99"/>
      <c r="Y7" s="99"/>
      <c r="Z7" s="99"/>
      <c r="AA7" s="99"/>
      <c r="AB7" s="99"/>
      <c r="AC7" s="99"/>
      <c r="AD7" s="143"/>
      <c r="AU7" s="230"/>
    </row>
    <row r="8" spans="2:47" x14ac:dyDescent="0.3">
      <c r="B8" s="82" t="s">
        <v>107</v>
      </c>
      <c r="E8" s="144"/>
      <c r="F8" s="55"/>
      <c r="G8" s="55"/>
      <c r="H8" s="55"/>
      <c r="I8" s="55"/>
      <c r="J8" s="55"/>
      <c r="K8" s="55"/>
      <c r="L8" s="55"/>
      <c r="M8" s="99"/>
      <c r="N8" s="58"/>
      <c r="O8" s="58"/>
      <c r="P8" s="58"/>
      <c r="Q8" s="145"/>
      <c r="R8" s="145"/>
      <c r="S8" s="145"/>
      <c r="T8" s="145"/>
      <c r="U8" s="145"/>
      <c r="V8" s="145"/>
      <c r="W8" s="99"/>
      <c r="X8" s="99"/>
      <c r="Y8" s="99"/>
      <c r="Z8" s="99"/>
      <c r="AA8" s="99"/>
      <c r="AB8" s="99"/>
      <c r="AC8" s="99"/>
      <c r="AD8" s="143"/>
      <c r="AU8" s="230"/>
    </row>
    <row r="9" spans="2:47" x14ac:dyDescent="0.3">
      <c r="B9" s="82" t="s">
        <v>108</v>
      </c>
      <c r="E9" s="144"/>
      <c r="F9" s="55"/>
      <c r="G9" s="55"/>
      <c r="H9" s="55"/>
      <c r="I9" s="55"/>
      <c r="J9" s="55"/>
      <c r="K9" s="55"/>
      <c r="L9" s="55"/>
      <c r="M9" s="55"/>
      <c r="N9" s="55"/>
      <c r="O9" s="55"/>
      <c r="P9" s="55"/>
      <c r="Q9" s="99"/>
      <c r="R9" s="99"/>
      <c r="S9" s="99"/>
      <c r="T9" s="99"/>
      <c r="U9" s="99"/>
      <c r="V9" s="99"/>
      <c r="W9" s="99"/>
      <c r="X9" s="99"/>
      <c r="Y9" s="99"/>
      <c r="Z9" s="99"/>
      <c r="AA9" s="99"/>
      <c r="AB9" s="99"/>
      <c r="AC9" s="99"/>
      <c r="AD9" s="143"/>
      <c r="AU9" s="230"/>
    </row>
    <row r="10" spans="2:47" x14ac:dyDescent="0.3">
      <c r="B10" s="82" t="s">
        <v>109</v>
      </c>
      <c r="E10" s="144"/>
      <c r="F10" s="55"/>
      <c r="G10" s="55"/>
      <c r="H10" s="55"/>
      <c r="I10" s="55"/>
      <c r="J10" s="55"/>
      <c r="K10" s="55"/>
      <c r="L10" s="55"/>
      <c r="M10" s="55"/>
      <c r="N10" s="55"/>
      <c r="O10" s="55"/>
      <c r="P10" s="55"/>
      <c r="Q10" s="99"/>
      <c r="R10" s="145"/>
      <c r="S10" s="99"/>
      <c r="T10" s="99"/>
      <c r="U10" s="99"/>
      <c r="V10" s="99"/>
      <c r="W10" s="99"/>
      <c r="X10" s="99"/>
      <c r="Y10" s="99"/>
      <c r="Z10" s="99"/>
      <c r="AA10" s="99"/>
      <c r="AB10" s="99"/>
      <c r="AC10" s="99"/>
      <c r="AD10" s="143"/>
      <c r="AU10" s="230"/>
    </row>
    <row r="11" spans="2:47" x14ac:dyDescent="0.3">
      <c r="B11" s="146">
        <v>6</v>
      </c>
      <c r="E11" s="144"/>
      <c r="F11" s="55"/>
      <c r="G11" s="55"/>
      <c r="H11" s="55"/>
      <c r="I11" s="55"/>
      <c r="J11" s="55"/>
      <c r="K11" s="55"/>
      <c r="L11" s="55"/>
      <c r="M11" s="55"/>
      <c r="N11" s="55"/>
      <c r="O11" s="55"/>
      <c r="P11" s="55"/>
      <c r="Q11" s="99"/>
      <c r="R11" s="145"/>
      <c r="S11" s="99"/>
      <c r="T11" s="99"/>
      <c r="U11" s="99"/>
      <c r="V11" s="99"/>
      <c r="W11" s="99"/>
      <c r="X11" s="99"/>
      <c r="Y11" s="99"/>
      <c r="Z11" s="99"/>
      <c r="AA11" s="99"/>
      <c r="AB11" s="99"/>
      <c r="AC11" s="99"/>
      <c r="AD11" s="143"/>
      <c r="AU11" s="230"/>
    </row>
    <row r="12" spans="2:47" x14ac:dyDescent="0.3">
      <c r="B12" s="146">
        <v>1</v>
      </c>
      <c r="E12" s="144"/>
      <c r="F12" s="55"/>
      <c r="G12" s="55"/>
      <c r="H12" s="55"/>
      <c r="I12" s="55"/>
      <c r="J12" s="55"/>
      <c r="K12" s="55"/>
      <c r="L12" s="55"/>
      <c r="M12" s="55"/>
      <c r="N12" s="55"/>
      <c r="O12" s="55"/>
      <c r="P12" s="55"/>
      <c r="Q12" s="99"/>
      <c r="R12" s="145"/>
      <c r="S12" s="99"/>
      <c r="T12" s="99"/>
      <c r="U12" s="99"/>
      <c r="V12" s="99"/>
      <c r="W12" s="99"/>
      <c r="X12" s="99"/>
      <c r="Y12" s="99"/>
      <c r="Z12" s="99"/>
      <c r="AA12" s="99"/>
      <c r="AB12" s="99"/>
      <c r="AC12" s="99"/>
      <c r="AD12" s="143"/>
      <c r="AU12" s="230"/>
    </row>
    <row r="13" spans="2:47" x14ac:dyDescent="0.3">
      <c r="E13" s="144"/>
      <c r="F13" s="55"/>
      <c r="G13" s="55"/>
      <c r="H13" s="55"/>
      <c r="I13" s="55"/>
      <c r="J13" s="55"/>
      <c r="K13" s="55"/>
      <c r="L13" s="55"/>
      <c r="M13" s="55"/>
      <c r="N13" s="55"/>
      <c r="O13" s="55"/>
      <c r="P13" s="55"/>
      <c r="Q13" s="99"/>
      <c r="R13" s="145"/>
      <c r="S13" s="99"/>
      <c r="T13" s="99"/>
      <c r="U13" s="99"/>
      <c r="V13" s="99"/>
      <c r="W13" s="99"/>
      <c r="X13" s="99"/>
      <c r="Y13" s="99"/>
      <c r="Z13" s="99"/>
      <c r="AA13" s="99"/>
      <c r="AB13" s="99"/>
      <c r="AC13" s="99"/>
      <c r="AD13" s="143"/>
      <c r="AU13" s="230"/>
    </row>
    <row r="14" spans="2:47" x14ac:dyDescent="0.3">
      <c r="B14" s="82"/>
      <c r="E14" s="144"/>
      <c r="F14" s="55"/>
      <c r="G14" s="55"/>
      <c r="H14" s="55"/>
      <c r="I14" s="55"/>
      <c r="J14" s="55"/>
      <c r="K14" s="55"/>
      <c r="L14" s="55"/>
      <c r="M14" s="55"/>
      <c r="N14" s="55"/>
      <c r="O14" s="55"/>
      <c r="P14" s="55"/>
      <c r="Q14" s="99"/>
      <c r="R14" s="145"/>
      <c r="S14" s="99"/>
      <c r="T14" s="99"/>
      <c r="U14" s="99"/>
      <c r="V14" s="99"/>
      <c r="W14" s="99"/>
      <c r="X14" s="99"/>
      <c r="Y14" s="99"/>
      <c r="Z14" s="99"/>
      <c r="AA14" s="99"/>
      <c r="AB14" s="99"/>
      <c r="AC14" s="99"/>
      <c r="AD14" s="143"/>
      <c r="AU14" s="230"/>
    </row>
    <row r="15" spans="2:47" x14ac:dyDescent="0.3">
      <c r="B15" s="82"/>
      <c r="E15" s="144"/>
      <c r="F15" s="55"/>
      <c r="G15" s="216"/>
      <c r="H15" s="216"/>
      <c r="I15" s="55"/>
      <c r="J15" s="55"/>
      <c r="K15" s="55"/>
      <c r="L15" s="55"/>
      <c r="M15" s="55"/>
      <c r="N15" s="55"/>
      <c r="O15" s="55"/>
      <c r="P15" s="55"/>
      <c r="Q15" s="99"/>
      <c r="R15" s="145"/>
      <c r="S15" s="99"/>
      <c r="T15" s="99"/>
      <c r="U15" s="99"/>
      <c r="V15" s="99"/>
      <c r="W15" s="99"/>
      <c r="X15" s="99"/>
      <c r="Y15" s="99"/>
      <c r="Z15" s="99"/>
      <c r="AA15" s="99"/>
      <c r="AB15" s="99"/>
      <c r="AC15" s="99"/>
      <c r="AD15" s="143"/>
      <c r="AU15" s="230"/>
    </row>
    <row r="16" spans="2:47" ht="15.6" x14ac:dyDescent="0.3">
      <c r="B16" s="82"/>
      <c r="E16" s="215"/>
      <c r="F16" s="211" t="s">
        <v>146</v>
      </c>
      <c r="G16" s="216"/>
      <c r="H16" s="216"/>
      <c r="I16" s="55"/>
      <c r="J16" s="55"/>
      <c r="K16" s="55"/>
      <c r="L16" s="55"/>
      <c r="M16" s="55"/>
      <c r="N16" s="55"/>
      <c r="O16" s="55"/>
      <c r="P16" s="55"/>
      <c r="Q16" s="99"/>
      <c r="R16" s="145"/>
      <c r="S16" s="99"/>
      <c r="T16" s="99"/>
      <c r="U16" s="99"/>
      <c r="V16" s="99"/>
      <c r="W16" s="99"/>
      <c r="X16" s="99"/>
      <c r="Y16" s="99"/>
      <c r="Z16" s="99"/>
      <c r="AA16" s="99"/>
      <c r="AB16" s="99"/>
      <c r="AC16" s="99"/>
      <c r="AD16" s="143"/>
      <c r="AU16" s="230"/>
    </row>
    <row r="17" spans="2:68" x14ac:dyDescent="0.3">
      <c r="B17" s="82"/>
      <c r="E17" s="214"/>
      <c r="F17" s="260" t="s">
        <v>147</v>
      </c>
      <c r="G17" s="216"/>
      <c r="H17" s="216"/>
      <c r="I17" s="55"/>
      <c r="J17" s="55"/>
      <c r="K17" s="55"/>
      <c r="L17" s="55"/>
      <c r="M17" s="55"/>
      <c r="N17" s="55"/>
      <c r="O17" s="55"/>
      <c r="P17" s="55"/>
      <c r="Q17" s="99"/>
      <c r="R17" s="145"/>
      <c r="S17" s="99"/>
      <c r="T17" s="99"/>
      <c r="U17" s="99"/>
      <c r="V17" s="99"/>
      <c r="W17" s="99"/>
      <c r="X17" s="99"/>
      <c r="Y17" s="99"/>
      <c r="Z17" s="99"/>
      <c r="AA17" s="99"/>
      <c r="AB17" s="99"/>
      <c r="AC17" s="99"/>
      <c r="AD17" s="143"/>
      <c r="AU17" s="230"/>
    </row>
    <row r="18" spans="2:68" x14ac:dyDescent="0.3">
      <c r="B18" s="82"/>
      <c r="E18" s="144"/>
      <c r="F18" s="229" t="s">
        <v>148</v>
      </c>
      <c r="G18" s="216"/>
      <c r="H18" s="216"/>
      <c r="I18" s="55"/>
      <c r="J18" s="55"/>
      <c r="K18" s="55"/>
      <c r="L18" s="55"/>
      <c r="M18" s="55"/>
      <c r="N18" s="55"/>
      <c r="O18" s="55"/>
      <c r="P18" s="55"/>
      <c r="Q18" s="99"/>
      <c r="R18" s="145"/>
      <c r="S18" s="99"/>
      <c r="T18" s="99"/>
      <c r="U18" s="99"/>
      <c r="V18" s="99"/>
      <c r="W18" s="99"/>
      <c r="X18" s="99"/>
      <c r="Y18" s="99"/>
      <c r="Z18" s="99"/>
      <c r="AA18" s="99"/>
      <c r="AB18" s="99"/>
      <c r="AC18" s="99"/>
      <c r="AD18" s="143"/>
      <c r="AU18" s="230"/>
    </row>
    <row r="19" spans="2:68" x14ac:dyDescent="0.3">
      <c r="B19" s="82"/>
      <c r="E19" s="144"/>
      <c r="F19" s="260" t="s">
        <v>153</v>
      </c>
      <c r="G19" s="216"/>
      <c r="H19" s="216"/>
      <c r="I19" s="55"/>
      <c r="J19" s="55"/>
      <c r="K19" s="55"/>
      <c r="L19" s="55"/>
      <c r="M19" s="55"/>
      <c r="N19" s="55"/>
      <c r="O19" s="55"/>
      <c r="P19" s="55"/>
      <c r="Q19" s="99"/>
      <c r="R19" s="145"/>
      <c r="S19" s="99"/>
      <c r="T19" s="99"/>
      <c r="U19" s="99"/>
      <c r="V19" s="99"/>
      <c r="W19" s="99"/>
      <c r="X19" s="99"/>
      <c r="Y19" s="99"/>
      <c r="Z19" s="99"/>
      <c r="AA19" s="99"/>
      <c r="AB19" s="99"/>
      <c r="AC19" s="99"/>
      <c r="AD19" s="143"/>
      <c r="AU19" s="230"/>
    </row>
    <row r="20" spans="2:68" x14ac:dyDescent="0.3">
      <c r="B20" s="82"/>
      <c r="E20" s="144"/>
      <c r="F20" s="229" t="s">
        <v>154</v>
      </c>
      <c r="G20" s="216"/>
      <c r="H20" s="216"/>
      <c r="I20" s="55"/>
      <c r="J20" s="55"/>
      <c r="K20" s="55"/>
      <c r="L20" s="55"/>
      <c r="M20" s="55"/>
      <c r="N20" s="55"/>
      <c r="O20" s="55"/>
      <c r="P20" s="55"/>
      <c r="Q20" s="99"/>
      <c r="R20" s="145"/>
      <c r="S20" s="99"/>
      <c r="T20" s="99"/>
      <c r="U20" s="99"/>
      <c r="V20" s="99"/>
      <c r="W20" s="99"/>
      <c r="X20" s="99"/>
      <c r="Y20" s="99"/>
      <c r="Z20" s="99"/>
      <c r="AA20" s="99"/>
      <c r="AB20" s="99"/>
      <c r="AC20" s="99"/>
      <c r="AD20" s="143"/>
      <c r="AU20" s="230"/>
    </row>
    <row r="21" spans="2:68" x14ac:dyDescent="0.3">
      <c r="B21" s="82"/>
      <c r="E21" s="144"/>
      <c r="F21" s="260" t="s">
        <v>149</v>
      </c>
      <c r="G21" s="216"/>
      <c r="H21" s="216"/>
      <c r="I21" s="55"/>
      <c r="J21" s="55"/>
      <c r="K21" s="55"/>
      <c r="L21" s="55"/>
      <c r="M21" s="55"/>
      <c r="N21" s="55"/>
      <c r="O21" s="55"/>
      <c r="P21" s="55"/>
      <c r="Q21" s="99"/>
      <c r="R21" s="145"/>
      <c r="S21" s="99"/>
      <c r="T21" s="99"/>
      <c r="U21" s="99"/>
      <c r="V21" s="99"/>
      <c r="W21" s="99"/>
      <c r="X21" s="99"/>
      <c r="Y21" s="99"/>
      <c r="Z21" s="99"/>
      <c r="AA21" s="99"/>
      <c r="AB21" s="99"/>
      <c r="AC21" s="99"/>
      <c r="AD21" s="143"/>
      <c r="AU21" s="230"/>
    </row>
    <row r="22" spans="2:68" x14ac:dyDescent="0.3">
      <c r="B22" s="82"/>
      <c r="E22" s="144"/>
      <c r="F22" s="229" t="s">
        <v>150</v>
      </c>
      <c r="G22" s="216"/>
      <c r="H22" s="216"/>
      <c r="I22" s="55"/>
      <c r="J22" s="55"/>
      <c r="K22" s="55"/>
      <c r="L22" s="55"/>
      <c r="M22" s="55"/>
      <c r="N22" s="55"/>
      <c r="O22" s="55"/>
      <c r="P22" s="55"/>
      <c r="Q22" s="99"/>
      <c r="R22" s="145"/>
      <c r="S22" s="99"/>
      <c r="T22" s="99"/>
      <c r="U22" s="99"/>
      <c r="V22" s="99"/>
      <c r="W22" s="99"/>
      <c r="X22" s="99"/>
      <c r="Y22" s="99"/>
      <c r="Z22" s="99"/>
      <c r="AA22" s="99"/>
      <c r="AB22" s="99"/>
      <c r="AC22" s="99"/>
      <c r="AD22" s="143"/>
      <c r="AU22" s="230"/>
    </row>
    <row r="23" spans="2:68" x14ac:dyDescent="0.3">
      <c r="B23" s="82"/>
      <c r="E23" s="144"/>
      <c r="F23" s="260" t="s">
        <v>151</v>
      </c>
      <c r="G23" s="55"/>
      <c r="H23" s="55"/>
      <c r="I23" s="55"/>
      <c r="J23" s="55"/>
      <c r="K23" s="55"/>
      <c r="L23" s="55"/>
      <c r="M23" s="55"/>
      <c r="N23" s="55"/>
      <c r="O23" s="55"/>
      <c r="P23" s="55"/>
      <c r="Q23" s="99"/>
      <c r="R23" s="145"/>
      <c r="S23" s="99"/>
      <c r="T23" s="99"/>
      <c r="U23" s="99"/>
      <c r="V23" s="99"/>
      <c r="W23" s="99"/>
      <c r="X23" s="99"/>
      <c r="Y23" s="99"/>
      <c r="Z23" s="99"/>
      <c r="AA23" s="99"/>
      <c r="AB23" s="99"/>
      <c r="AC23" s="99"/>
      <c r="AD23" s="143"/>
      <c r="AU23" s="230"/>
    </row>
    <row r="24" spans="2:68" x14ac:dyDescent="0.3">
      <c r="B24" s="82"/>
      <c r="E24" s="144"/>
      <c r="F24" s="229" t="s">
        <v>152</v>
      </c>
      <c r="G24" s="55"/>
      <c r="H24" s="55"/>
      <c r="I24" s="55"/>
      <c r="J24" s="55"/>
      <c r="K24" s="55"/>
      <c r="L24" s="55"/>
      <c r="M24" s="55"/>
      <c r="N24" s="55"/>
      <c r="O24" s="55"/>
      <c r="P24" s="55"/>
      <c r="Q24" s="99"/>
      <c r="R24" s="145"/>
      <c r="S24" s="99"/>
      <c r="T24" s="99"/>
      <c r="U24" s="99"/>
      <c r="V24" s="99"/>
      <c r="W24" s="99"/>
      <c r="X24" s="99"/>
      <c r="Y24" s="99"/>
      <c r="Z24" s="99"/>
      <c r="AA24" s="99"/>
      <c r="AB24" s="99"/>
      <c r="AC24" s="99"/>
      <c r="AD24" s="143"/>
      <c r="AU24" s="230"/>
    </row>
    <row r="25" spans="2:68" x14ac:dyDescent="0.3">
      <c r="B25" s="146"/>
      <c r="E25" s="144"/>
      <c r="F25" s="55"/>
      <c r="G25" s="55"/>
      <c r="H25" s="55"/>
      <c r="I25" s="55"/>
      <c r="J25" s="55"/>
      <c r="K25" s="55"/>
      <c r="L25" s="55"/>
      <c r="M25" s="55"/>
      <c r="N25" s="55"/>
      <c r="O25" s="55"/>
      <c r="P25" s="55"/>
      <c r="Q25" s="99"/>
      <c r="R25" s="145"/>
      <c r="S25" s="99"/>
      <c r="T25" s="99"/>
      <c r="U25" s="99"/>
      <c r="V25" s="99"/>
      <c r="W25" s="99"/>
      <c r="X25" s="99"/>
      <c r="Y25" s="99"/>
      <c r="Z25" s="99"/>
      <c r="AA25" s="99"/>
      <c r="AB25" s="99"/>
      <c r="AC25" s="99"/>
      <c r="AD25" s="143"/>
      <c r="AU25" s="230"/>
    </row>
    <row r="26" spans="2:68" x14ac:dyDescent="0.3">
      <c r="B26" s="146"/>
      <c r="E26" s="144"/>
      <c r="F26" s="55"/>
      <c r="G26" s="55"/>
      <c r="H26" s="55"/>
      <c r="I26" s="55"/>
      <c r="J26" s="55"/>
      <c r="K26" s="55"/>
      <c r="L26" s="55"/>
      <c r="M26" s="55"/>
      <c r="N26" s="55"/>
      <c r="O26" s="55"/>
      <c r="P26" s="55"/>
      <c r="Q26" s="99"/>
      <c r="R26" s="145"/>
      <c r="S26" s="99"/>
      <c r="T26" s="99"/>
      <c r="U26" s="99"/>
      <c r="V26" s="99"/>
      <c r="W26" s="99"/>
      <c r="X26" s="99"/>
      <c r="Y26" s="99"/>
      <c r="Z26" s="99"/>
      <c r="AA26" s="99"/>
      <c r="AB26" s="99"/>
      <c r="AC26" s="99"/>
      <c r="AD26" s="143"/>
      <c r="AU26" s="230"/>
    </row>
    <row r="27" spans="2:68" x14ac:dyDescent="0.3">
      <c r="E27" s="144"/>
      <c r="F27" s="55"/>
      <c r="G27" s="55"/>
      <c r="H27" s="55"/>
      <c r="I27" s="55"/>
      <c r="J27" s="55"/>
      <c r="K27" s="55"/>
      <c r="L27" s="55"/>
      <c r="M27" s="55"/>
      <c r="N27" s="55"/>
      <c r="O27" s="55"/>
      <c r="P27" s="55"/>
      <c r="Q27" s="99"/>
      <c r="R27" s="145"/>
      <c r="S27" s="99"/>
      <c r="T27" s="99"/>
      <c r="U27" s="99"/>
      <c r="V27" s="99"/>
      <c r="W27" s="99"/>
      <c r="X27" s="99"/>
      <c r="Y27" s="99"/>
      <c r="Z27" s="99"/>
      <c r="AA27" s="99"/>
      <c r="AB27" s="99"/>
      <c r="AC27" s="99"/>
      <c r="AD27" s="143"/>
      <c r="AU27" s="230"/>
    </row>
    <row r="28" spans="2:68" x14ac:dyDescent="0.3">
      <c r="B28" s="82" t="s">
        <v>7</v>
      </c>
      <c r="E28" s="144"/>
      <c r="F28" s="55"/>
      <c r="G28" s="55"/>
      <c r="H28" s="55"/>
      <c r="I28" s="55"/>
      <c r="J28" s="55"/>
      <c r="K28" s="55"/>
      <c r="L28" s="55"/>
      <c r="M28" s="55"/>
      <c r="N28" s="55"/>
      <c r="O28" s="55"/>
      <c r="P28" s="55"/>
      <c r="Q28" s="55"/>
      <c r="R28" s="145"/>
      <c r="S28" s="99"/>
      <c r="T28" s="99"/>
      <c r="U28" s="99"/>
      <c r="V28" s="99"/>
      <c r="W28" s="99"/>
      <c r="X28" s="99"/>
      <c r="Y28" s="99"/>
      <c r="Z28" s="99"/>
      <c r="AA28" s="99"/>
      <c r="AB28" s="99"/>
      <c r="AC28" s="99"/>
      <c r="AD28" s="143"/>
      <c r="AU28" s="230"/>
    </row>
    <row r="29" spans="2:68" s="269" customFormat="1" ht="24" x14ac:dyDescent="0.3">
      <c r="B29" s="261" t="s">
        <v>40</v>
      </c>
      <c r="C29" s="261"/>
      <c r="D29" s="261"/>
      <c r="E29" s="262"/>
      <c r="F29" s="263"/>
      <c r="G29" s="263"/>
      <c r="H29" s="55"/>
      <c r="I29" s="55"/>
      <c r="J29" s="55"/>
      <c r="K29" s="55"/>
      <c r="L29" s="55"/>
      <c r="M29" s="55"/>
      <c r="N29" s="55"/>
      <c r="O29" s="55"/>
      <c r="P29" s="55"/>
      <c r="Q29" s="55"/>
      <c r="R29" s="266"/>
      <c r="S29" s="99"/>
      <c r="T29" s="99"/>
      <c r="U29" s="99"/>
      <c r="V29" s="99"/>
      <c r="W29" s="99"/>
      <c r="X29" s="99"/>
      <c r="Y29" s="99"/>
      <c r="Z29" s="99"/>
      <c r="AA29" s="99"/>
      <c r="AB29" s="99"/>
      <c r="AC29" s="99"/>
      <c r="AD29" s="268"/>
      <c r="AN29" s="270"/>
      <c r="AU29" s="271"/>
      <c r="AX29" s="270"/>
      <c r="AY29" s="270"/>
      <c r="BI29" s="270"/>
      <c r="BJ29" s="270"/>
      <c r="BK29" s="270"/>
      <c r="BL29" s="270"/>
      <c r="BM29" s="270"/>
      <c r="BN29" s="270"/>
      <c r="BO29" s="270"/>
      <c r="BP29" s="270"/>
    </row>
    <row r="30" spans="2:68" x14ac:dyDescent="0.3">
      <c r="B30" s="82" t="s">
        <v>10</v>
      </c>
      <c r="E30" s="144"/>
      <c r="F30" s="55"/>
      <c r="G30" s="55"/>
      <c r="H30" s="55"/>
      <c r="I30" s="55"/>
      <c r="J30" s="55"/>
      <c r="K30" s="55"/>
      <c r="L30" s="55"/>
      <c r="M30" s="55"/>
      <c r="N30" s="55"/>
      <c r="O30" s="55"/>
      <c r="P30" s="55"/>
      <c r="Q30" s="55"/>
      <c r="R30" s="55"/>
      <c r="S30" s="99"/>
      <c r="T30" s="99"/>
      <c r="U30" s="99"/>
      <c r="V30" s="99"/>
      <c r="W30" s="99"/>
      <c r="X30" s="99"/>
      <c r="Y30" s="99"/>
      <c r="Z30" s="99"/>
      <c r="AA30" s="99"/>
      <c r="AB30" s="99"/>
      <c r="AC30" s="99"/>
      <c r="AD30" s="143"/>
      <c r="AU30" s="230"/>
    </row>
    <row r="31" spans="2:68" x14ac:dyDescent="0.3">
      <c r="B31" s="82" t="s">
        <v>130</v>
      </c>
      <c r="E31" s="144"/>
      <c r="F31" s="55"/>
      <c r="G31" s="55"/>
      <c r="H31" s="55"/>
      <c r="I31" s="55"/>
      <c r="J31" s="55"/>
      <c r="K31" s="55"/>
      <c r="L31" s="55"/>
      <c r="M31" s="55"/>
      <c r="N31" s="55"/>
      <c r="O31" s="55"/>
      <c r="P31" s="55"/>
      <c r="Q31" s="55"/>
      <c r="R31" s="55"/>
      <c r="S31" s="99"/>
      <c r="T31" s="99"/>
      <c r="U31" s="99"/>
      <c r="V31" s="99"/>
      <c r="W31" s="99"/>
      <c r="X31" s="99"/>
      <c r="Y31" s="99"/>
      <c r="Z31" s="99"/>
      <c r="AA31" s="99"/>
      <c r="AB31" s="99"/>
      <c r="AC31" s="99"/>
      <c r="AD31" s="143"/>
      <c r="AU31" s="230"/>
    </row>
    <row r="32" spans="2:68" x14ac:dyDescent="0.3">
      <c r="B32" s="82" t="s">
        <v>135</v>
      </c>
      <c r="E32" s="144"/>
      <c r="F32" s="55"/>
      <c r="G32" s="55"/>
      <c r="H32" s="55"/>
      <c r="I32" s="55"/>
      <c r="J32" s="55"/>
      <c r="K32" s="55"/>
      <c r="L32" s="55"/>
      <c r="M32" s="55"/>
      <c r="N32" s="55"/>
      <c r="O32" s="55"/>
      <c r="P32" s="55"/>
      <c r="Q32" s="55"/>
      <c r="R32" s="55"/>
      <c r="S32" s="99"/>
      <c r="T32" s="99"/>
      <c r="U32" s="99"/>
      <c r="V32" s="99"/>
      <c r="W32" s="99"/>
      <c r="X32" s="99"/>
      <c r="Y32" s="99"/>
      <c r="Z32" s="99"/>
      <c r="AA32" s="99"/>
      <c r="AB32" s="99"/>
      <c r="AC32" s="99"/>
      <c r="AD32" s="143"/>
      <c r="AU32" s="230"/>
    </row>
    <row r="33" spans="2:68" x14ac:dyDescent="0.3">
      <c r="E33" s="144"/>
      <c r="F33" s="55"/>
      <c r="G33" s="55"/>
      <c r="H33" s="55"/>
      <c r="I33" s="55"/>
      <c r="J33" s="55"/>
      <c r="K33" s="55"/>
      <c r="L33" s="55"/>
      <c r="M33" s="55"/>
      <c r="N33" s="55"/>
      <c r="O33" s="55"/>
      <c r="P33" s="55"/>
      <c r="Q33" s="55"/>
      <c r="R33" s="55"/>
      <c r="S33" s="99"/>
      <c r="T33" s="99"/>
      <c r="U33" s="99"/>
      <c r="V33" s="99"/>
      <c r="W33" s="99"/>
      <c r="X33" s="99"/>
      <c r="Y33" s="99"/>
      <c r="Z33" s="99"/>
      <c r="AA33" s="99"/>
      <c r="AB33" s="99"/>
      <c r="AC33" s="99"/>
      <c r="AD33" s="143"/>
      <c r="AU33" s="230"/>
    </row>
    <row r="34" spans="2:68" s="269" customFormat="1" ht="24" customHeight="1" x14ac:dyDescent="0.3">
      <c r="B34" s="272"/>
      <c r="C34" s="261"/>
      <c r="D34" s="261"/>
      <c r="E34" s="262"/>
      <c r="F34" s="55"/>
      <c r="G34" s="55"/>
      <c r="H34" s="55"/>
      <c r="I34" s="55"/>
      <c r="J34" s="55"/>
      <c r="K34" s="55"/>
      <c r="L34" s="55"/>
      <c r="M34" s="55"/>
      <c r="N34" s="55"/>
      <c r="O34" s="55"/>
      <c r="P34" s="55"/>
      <c r="Q34" s="55"/>
      <c r="R34" s="55"/>
      <c r="S34" s="99"/>
      <c r="T34" s="99"/>
      <c r="U34" s="99"/>
      <c r="V34" s="99"/>
      <c r="W34" s="99"/>
      <c r="X34" s="99"/>
      <c r="Y34" s="99"/>
      <c r="Z34" s="99"/>
      <c r="AA34" s="99"/>
      <c r="AB34" s="99"/>
      <c r="AC34" s="99"/>
      <c r="AD34" s="268"/>
      <c r="AN34" s="270"/>
      <c r="AU34" s="271"/>
      <c r="AX34" s="270"/>
      <c r="AY34" s="270"/>
      <c r="BI34" s="270"/>
      <c r="BJ34" s="270"/>
      <c r="BK34" s="270"/>
      <c r="BL34" s="270"/>
      <c r="BM34" s="270"/>
      <c r="BN34" s="270"/>
      <c r="BO34" s="270"/>
      <c r="BP34" s="270"/>
    </row>
    <row r="35" spans="2:68" x14ac:dyDescent="0.3">
      <c r="B35" s="146">
        <v>2</v>
      </c>
      <c r="E35" s="144"/>
      <c r="F35" s="55"/>
      <c r="G35" s="55"/>
      <c r="H35" s="55"/>
      <c r="I35" s="55"/>
      <c r="J35" s="55"/>
      <c r="K35" s="55"/>
      <c r="L35" s="55"/>
      <c r="M35" s="55"/>
      <c r="N35" s="55"/>
      <c r="O35" s="55"/>
      <c r="P35" s="55"/>
      <c r="Q35" s="55"/>
      <c r="R35" s="55"/>
      <c r="S35" s="99"/>
      <c r="T35" s="99"/>
      <c r="U35" s="99"/>
      <c r="V35" s="99"/>
      <c r="W35" s="99"/>
      <c r="X35" s="99"/>
      <c r="Y35" s="99"/>
      <c r="Z35" s="99"/>
      <c r="AA35" s="99"/>
      <c r="AB35" s="99"/>
      <c r="AC35" s="99"/>
      <c r="AD35" s="143"/>
      <c r="AU35" s="230"/>
    </row>
    <row r="36" spans="2:68" x14ac:dyDescent="0.3">
      <c r="B36" s="146">
        <v>2</v>
      </c>
      <c r="E36" s="144"/>
      <c r="F36" s="55"/>
      <c r="G36" s="55"/>
      <c r="H36" s="55"/>
      <c r="I36" s="55"/>
      <c r="J36" s="55"/>
      <c r="K36" s="55"/>
      <c r="L36" s="55"/>
      <c r="M36" s="55"/>
      <c r="N36" s="55"/>
      <c r="O36" s="55"/>
      <c r="P36" s="55"/>
      <c r="Q36" s="55"/>
      <c r="R36" s="55"/>
      <c r="S36" s="99"/>
      <c r="T36" s="99"/>
      <c r="U36" s="99"/>
      <c r="V36" s="99"/>
      <c r="W36" s="99"/>
      <c r="X36" s="99"/>
      <c r="Y36" s="99"/>
      <c r="Z36" s="99"/>
      <c r="AA36" s="99"/>
      <c r="AB36" s="99"/>
      <c r="AC36" s="99"/>
      <c r="AD36" s="143"/>
      <c r="AU36" s="230"/>
    </row>
    <row r="37" spans="2:68" x14ac:dyDescent="0.3">
      <c r="B37" s="83"/>
      <c r="E37" s="144"/>
      <c r="F37" s="55"/>
      <c r="G37" s="55"/>
      <c r="H37" s="55"/>
      <c r="I37" s="55"/>
      <c r="J37" s="55"/>
      <c r="K37" s="55"/>
      <c r="L37" s="55"/>
      <c r="M37" s="55"/>
      <c r="N37" s="55"/>
      <c r="O37" s="55"/>
      <c r="P37" s="55"/>
      <c r="Q37" s="55"/>
      <c r="R37" s="55"/>
      <c r="S37" s="99"/>
      <c r="T37" s="99"/>
      <c r="U37" s="99"/>
      <c r="V37" s="99"/>
      <c r="W37" s="99"/>
      <c r="X37" s="99"/>
      <c r="Y37" s="99"/>
      <c r="Z37" s="99"/>
      <c r="AA37" s="99"/>
      <c r="AB37" s="99"/>
      <c r="AC37" s="99"/>
      <c r="AD37" s="143"/>
      <c r="AU37" s="230"/>
    </row>
    <row r="38" spans="2:68" x14ac:dyDescent="0.3">
      <c r="B38" s="83"/>
      <c r="E38" s="144"/>
      <c r="F38" s="55"/>
      <c r="G38" s="55"/>
      <c r="H38" s="55"/>
      <c r="I38" s="74" t="s">
        <v>48</v>
      </c>
      <c r="J38" s="76"/>
      <c r="K38" s="76"/>
      <c r="L38" s="76"/>
      <c r="M38" s="76"/>
      <c r="N38" s="76"/>
      <c r="O38" s="76"/>
      <c r="P38" s="76"/>
      <c r="Q38" s="147"/>
      <c r="R38" s="55"/>
      <c r="S38" s="74" t="s">
        <v>102</v>
      </c>
      <c r="T38" s="148"/>
      <c r="U38" s="148"/>
      <c r="V38" s="148"/>
      <c r="W38" s="148"/>
      <c r="X38" s="148"/>
      <c r="Y38" s="148"/>
      <c r="Z38" s="148"/>
      <c r="AA38" s="148"/>
      <c r="AB38" s="99"/>
      <c r="AC38" s="99"/>
      <c r="AD38" s="143"/>
      <c r="AU38" s="230"/>
    </row>
    <row r="39" spans="2:68" x14ac:dyDescent="0.3">
      <c r="E39" s="144"/>
      <c r="F39" s="55"/>
      <c r="G39" s="55"/>
      <c r="H39" s="55"/>
      <c r="I39" s="264" t="s">
        <v>122</v>
      </c>
      <c r="J39" s="264">
        <v>2003</v>
      </c>
      <c r="K39" s="264">
        <v>2005</v>
      </c>
      <c r="L39" s="265" t="s">
        <v>165</v>
      </c>
      <c r="M39" s="265" t="s">
        <v>166</v>
      </c>
      <c r="N39" s="265" t="s">
        <v>167</v>
      </c>
      <c r="O39" s="265" t="s">
        <v>126</v>
      </c>
      <c r="P39" s="265" t="s">
        <v>127</v>
      </c>
      <c r="Q39" s="265" t="s">
        <v>128</v>
      </c>
      <c r="R39" s="55"/>
      <c r="S39" s="264" t="s">
        <v>122</v>
      </c>
      <c r="T39" s="264">
        <v>2003</v>
      </c>
      <c r="U39" s="264">
        <v>2005</v>
      </c>
      <c r="V39" s="265" t="s">
        <v>123</v>
      </c>
      <c r="W39" s="265" t="s">
        <v>124</v>
      </c>
      <c r="X39" s="265" t="s">
        <v>125</v>
      </c>
      <c r="Y39" s="265" t="s">
        <v>126</v>
      </c>
      <c r="Z39" s="265" t="s">
        <v>127</v>
      </c>
      <c r="AA39" s="265" t="s">
        <v>128</v>
      </c>
      <c r="AB39" s="267"/>
      <c r="AC39" s="99"/>
      <c r="AD39" s="143"/>
      <c r="AU39" s="230"/>
    </row>
    <row r="40" spans="2:68" x14ac:dyDescent="0.25">
      <c r="B40" s="86" t="s">
        <v>77</v>
      </c>
      <c r="E40" s="144"/>
      <c r="F40" s="55"/>
      <c r="G40" s="55"/>
      <c r="H40" s="82" t="s">
        <v>58</v>
      </c>
      <c r="I40" s="88">
        <f t="shared" ref="I40:I49" si="0">IFERROR(S67,"FAIL")</f>
        <v>0.29003344162462968</v>
      </c>
      <c r="J40" s="88">
        <f t="shared" ref="J40:J49" si="1">IFERROR(T67,"FAIL")</f>
        <v>0.24027774759307152</v>
      </c>
      <c r="K40" s="88">
        <f t="shared" ref="K40:K49" si="2">IFERROR(U67,"FAIL")</f>
        <v>0.23096976016684045</v>
      </c>
      <c r="L40" s="88">
        <f t="shared" ref="L40:L49" si="3">IFERROR(V67,"FAIL")</f>
        <v>0.24881859170710111</v>
      </c>
      <c r="M40" s="88">
        <f t="shared" ref="M40:M49" si="4">IFERROR(W67,"FAIL")</f>
        <v>0.2307825305939149</v>
      </c>
      <c r="N40" s="88">
        <f t="shared" ref="N40:O49" si="5">IFERROR(X67,"FAIL")</f>
        <v>0.23188699238021962</v>
      </c>
      <c r="O40" s="88">
        <f t="shared" ref="O40:O49" si="6">IFERROR(Y67,"FAIL")</f>
        <v>0.20785753276918692</v>
      </c>
      <c r="P40" s="88">
        <f t="shared" ref="P40:P49" si="7">IFERROR(Z67,"FAIL")</f>
        <v>0.21645343160276895</v>
      </c>
      <c r="Q40" s="88">
        <f t="shared" ref="Q40:Q49" si="8">IFERROR(AA67,"FAIL")</f>
        <v>0.20821469310275767</v>
      </c>
      <c r="R40" s="55"/>
      <c r="S40" s="176">
        <f t="shared" ref="S40:S49" si="9">IF(AV67&lt;16.6,0,IF(H68&lt;33.4,"E", "F"))</f>
        <v>0</v>
      </c>
      <c r="T40" s="176">
        <f t="shared" ref="T40:T49" si="10">IF(AW67&lt;16.6,0,IF(I68&lt;33.4,"E", "F"))</f>
        <v>0</v>
      </c>
      <c r="U40" s="176">
        <f t="shared" ref="U40:U49" si="11">IF(AX67&lt;16.6,0,IF(J68&lt;33.4,"E", "F"))</f>
        <v>0</v>
      </c>
      <c r="V40" s="176">
        <f t="shared" ref="V40:V49" si="12">IF(AY67&lt;16.6,0,IF(K68&lt;33.4,"E", "F"))</f>
        <v>0</v>
      </c>
      <c r="W40" s="176">
        <f t="shared" ref="W40:W49" si="13">IF(AZ67&lt;16.6,0,IF(L68&lt;33.4,"E", "F"))</f>
        <v>0</v>
      </c>
      <c r="X40" s="176">
        <f t="shared" ref="X40:X49" si="14">IF(BA67&lt;16.6,0,IF(M68&lt;33.4,"E", "F"))</f>
        <v>0</v>
      </c>
      <c r="Y40" s="176">
        <f t="shared" ref="Y40:Y49" si="15">IF(BB67&lt;16.6,0,IF(N68&lt;33.4,"E", "F"))</f>
        <v>0</v>
      </c>
      <c r="Z40" s="176">
        <f t="shared" ref="Z40:Z49" si="16">IF(BC67&lt;16.6,0,IF(O68&lt;33.4,"E", "F"))</f>
        <v>0</v>
      </c>
      <c r="AA40" s="176">
        <f t="shared" ref="AA40:AA49" si="17">IF(BD67&lt;16.6,0,IF(P68&lt;33.4,"E", "F"))</f>
        <v>0</v>
      </c>
      <c r="AB40" s="99"/>
      <c r="AC40" s="99"/>
      <c r="AD40" s="143"/>
      <c r="AU40" s="230"/>
    </row>
    <row r="41" spans="2:68" x14ac:dyDescent="0.25">
      <c r="B41" s="152">
        <f>IF(B11=1,0,(IF(B11=2,5,(IF(B11=3,10,(IF(B11=4,15,(IF(B11=5,20,(IF(B11=6,25,(IF(B11=7,30,35)))))))))))))</f>
        <v>25</v>
      </c>
      <c r="E41" s="144"/>
      <c r="F41" s="55"/>
      <c r="G41" s="55"/>
      <c r="H41" s="82" t="s">
        <v>68</v>
      </c>
      <c r="I41" s="88">
        <f t="shared" si="0"/>
        <v>0.27861975293783903</v>
      </c>
      <c r="J41" s="88">
        <f t="shared" si="1"/>
        <v>0.2361379795492802</v>
      </c>
      <c r="K41" s="88">
        <f t="shared" si="2"/>
        <v>0.2215837993820067</v>
      </c>
      <c r="L41" s="88">
        <f t="shared" si="3"/>
        <v>0.21217883740607016</v>
      </c>
      <c r="M41" s="88">
        <f t="shared" si="4"/>
        <v>0.21846161418130214</v>
      </c>
      <c r="N41" s="88">
        <f t="shared" si="5"/>
        <v>0.21428685692347069</v>
      </c>
      <c r="O41" s="88">
        <f t="shared" si="5"/>
        <v>0.19399966558645784</v>
      </c>
      <c r="P41" s="88">
        <f t="shared" si="7"/>
        <v>0.15105215805858327</v>
      </c>
      <c r="Q41" s="88">
        <f t="shared" si="8"/>
        <v>0.17007636905501056</v>
      </c>
      <c r="R41" s="55"/>
      <c r="S41" s="176">
        <f t="shared" si="9"/>
        <v>0</v>
      </c>
      <c r="T41" s="176">
        <f t="shared" si="10"/>
        <v>0</v>
      </c>
      <c r="U41" s="176">
        <f t="shared" si="11"/>
        <v>0</v>
      </c>
      <c r="V41" s="176">
        <f t="shared" si="12"/>
        <v>0</v>
      </c>
      <c r="W41" s="176">
        <f t="shared" si="13"/>
        <v>0</v>
      </c>
      <c r="X41" s="176">
        <f t="shared" si="14"/>
        <v>0</v>
      </c>
      <c r="Y41" s="176">
        <f t="shared" si="15"/>
        <v>0</v>
      </c>
      <c r="Z41" s="176">
        <f t="shared" si="16"/>
        <v>0</v>
      </c>
      <c r="AA41" s="176">
        <f t="shared" si="17"/>
        <v>0</v>
      </c>
      <c r="AB41" s="99"/>
      <c r="AC41" s="55"/>
      <c r="AD41" s="143"/>
      <c r="AU41" s="230"/>
    </row>
    <row r="42" spans="2:68" ht="21.6" customHeight="1" x14ac:dyDescent="0.25">
      <c r="B42" s="152">
        <f>IF(B12=1,0,(IF(B12=2,5,(IF(B12=3,10,(IF(B12=4,15,(IF(B12=5,20,(IF(B12=6,25,(IF(B12=7,30,35)))))))))))))</f>
        <v>0</v>
      </c>
      <c r="E42" s="144"/>
      <c r="F42" s="55"/>
      <c r="G42" s="55"/>
      <c r="H42" s="82" t="s">
        <v>69</v>
      </c>
      <c r="I42" s="88">
        <f t="shared" si="0"/>
        <v>0.28211571238027794</v>
      </c>
      <c r="J42" s="88">
        <f t="shared" si="1"/>
        <v>0.23521815446339017</v>
      </c>
      <c r="K42" s="88">
        <f t="shared" si="2"/>
        <v>0.2263572806020214</v>
      </c>
      <c r="L42" s="88">
        <f t="shared" si="3"/>
        <v>0.23971993206074479</v>
      </c>
      <c r="M42" s="88">
        <f t="shared" si="4"/>
        <v>0.2316344433442771</v>
      </c>
      <c r="N42" s="88">
        <f t="shared" si="5"/>
        <v>0.22743470796112328</v>
      </c>
      <c r="O42" s="88">
        <f t="shared" si="6"/>
        <v>0.21633933432341645</v>
      </c>
      <c r="P42" s="88">
        <f t="shared" si="7"/>
        <v>0.19265452462319499</v>
      </c>
      <c r="Q42" s="88">
        <f t="shared" si="8"/>
        <v>0.17888725038703482</v>
      </c>
      <c r="R42" s="55"/>
      <c r="S42" s="176">
        <f t="shared" si="9"/>
        <v>0</v>
      </c>
      <c r="T42" s="176">
        <f t="shared" si="10"/>
        <v>0</v>
      </c>
      <c r="U42" s="176">
        <f t="shared" si="11"/>
        <v>0</v>
      </c>
      <c r="V42" s="176">
        <f t="shared" si="12"/>
        <v>0</v>
      </c>
      <c r="W42" s="176">
        <f t="shared" si="13"/>
        <v>0</v>
      </c>
      <c r="X42" s="176">
        <f t="shared" si="14"/>
        <v>0</v>
      </c>
      <c r="Y42" s="176">
        <f t="shared" si="15"/>
        <v>0</v>
      </c>
      <c r="Z42" s="176">
        <f t="shared" si="16"/>
        <v>0</v>
      </c>
      <c r="AA42" s="176">
        <f t="shared" si="17"/>
        <v>0</v>
      </c>
      <c r="AB42" s="58" t="s">
        <v>25</v>
      </c>
      <c r="AC42" s="55"/>
      <c r="AD42" s="143"/>
      <c r="AU42" s="230"/>
    </row>
    <row r="43" spans="2:68" x14ac:dyDescent="0.25">
      <c r="E43" s="144"/>
      <c r="F43" s="55"/>
      <c r="G43" s="55"/>
      <c r="H43" s="82" t="s">
        <v>70</v>
      </c>
      <c r="I43" s="88">
        <f t="shared" si="0"/>
        <v>0.26398512919719425</v>
      </c>
      <c r="J43" s="88">
        <f t="shared" si="1"/>
        <v>0.25290259738225962</v>
      </c>
      <c r="K43" s="88">
        <f t="shared" si="2"/>
        <v>0.2249079485451953</v>
      </c>
      <c r="L43" s="88">
        <f t="shared" si="3"/>
        <v>0.2332072778720467</v>
      </c>
      <c r="M43" s="88">
        <f t="shared" si="4"/>
        <v>0.22093884567543687</v>
      </c>
      <c r="N43" s="88">
        <f t="shared" si="5"/>
        <v>0.22626556964030811</v>
      </c>
      <c r="O43" s="88">
        <f t="shared" si="6"/>
        <v>0.21198165986884818</v>
      </c>
      <c r="P43" s="88">
        <f t="shared" si="7"/>
        <v>0.18230158137683053</v>
      </c>
      <c r="Q43" s="88">
        <f t="shared" si="8"/>
        <v>0.1439523658855863</v>
      </c>
      <c r="R43" s="55"/>
      <c r="S43" s="176">
        <f t="shared" si="9"/>
        <v>0</v>
      </c>
      <c r="T43" s="176">
        <f t="shared" si="10"/>
        <v>0</v>
      </c>
      <c r="U43" s="176">
        <f t="shared" si="11"/>
        <v>0</v>
      </c>
      <c r="V43" s="176">
        <f t="shared" si="12"/>
        <v>0</v>
      </c>
      <c r="W43" s="176">
        <f t="shared" si="13"/>
        <v>0</v>
      </c>
      <c r="X43" s="176">
        <f t="shared" si="14"/>
        <v>0</v>
      </c>
      <c r="Y43" s="176">
        <f t="shared" si="15"/>
        <v>0</v>
      </c>
      <c r="Z43" s="176">
        <f t="shared" si="16"/>
        <v>0</v>
      </c>
      <c r="AA43" s="176">
        <f t="shared" si="17"/>
        <v>0</v>
      </c>
      <c r="AB43" s="284" t="s">
        <v>26</v>
      </c>
      <c r="AC43" s="55"/>
      <c r="AD43" s="143"/>
      <c r="AU43" s="230"/>
    </row>
    <row r="44" spans="2:68" x14ac:dyDescent="0.25">
      <c r="B44" s="86" t="s">
        <v>78</v>
      </c>
      <c r="E44" s="144"/>
      <c r="F44" s="55"/>
      <c r="G44" s="55"/>
      <c r="H44" s="82" t="s">
        <v>71</v>
      </c>
      <c r="I44" s="88">
        <f t="shared" si="0"/>
        <v>0.29450639919031307</v>
      </c>
      <c r="J44" s="88">
        <f t="shared" si="1"/>
        <v>0.25825120331853463</v>
      </c>
      <c r="K44" s="88">
        <f t="shared" si="2"/>
        <v>0.24373524958810169</v>
      </c>
      <c r="L44" s="88">
        <f t="shared" si="3"/>
        <v>0.24162218443379499</v>
      </c>
      <c r="M44" s="88">
        <f t="shared" si="4"/>
        <v>0.22823216894515641</v>
      </c>
      <c r="N44" s="88">
        <f t="shared" si="5"/>
        <v>0.22314967502702007</v>
      </c>
      <c r="O44" s="88">
        <f t="shared" si="6"/>
        <v>0.20418018780678768</v>
      </c>
      <c r="P44" s="88">
        <f t="shared" si="7"/>
        <v>0.18358584842406667</v>
      </c>
      <c r="Q44" s="88">
        <f t="shared" si="8"/>
        <v>0.17875765506331501</v>
      </c>
      <c r="R44" s="55"/>
      <c r="S44" s="176">
        <f t="shared" si="9"/>
        <v>0</v>
      </c>
      <c r="T44" s="176">
        <f t="shared" si="10"/>
        <v>0</v>
      </c>
      <c r="U44" s="176">
        <f t="shared" si="11"/>
        <v>0</v>
      </c>
      <c r="V44" s="176">
        <f t="shared" si="12"/>
        <v>0</v>
      </c>
      <c r="W44" s="176">
        <f t="shared" si="13"/>
        <v>0</v>
      </c>
      <c r="X44" s="176">
        <f t="shared" si="14"/>
        <v>0</v>
      </c>
      <c r="Y44" s="176">
        <f t="shared" si="15"/>
        <v>0</v>
      </c>
      <c r="Z44" s="176">
        <f t="shared" si="16"/>
        <v>0</v>
      </c>
      <c r="AA44" s="176">
        <f t="shared" si="17"/>
        <v>0</v>
      </c>
      <c r="AB44" s="284" t="s">
        <v>27</v>
      </c>
      <c r="AC44" s="55"/>
      <c r="AD44" s="143"/>
      <c r="AU44" s="230"/>
    </row>
    <row r="45" spans="2:68" x14ac:dyDescent="0.25">
      <c r="B45" s="86"/>
      <c r="E45" s="144"/>
      <c r="F45" s="55"/>
      <c r="G45" s="55"/>
      <c r="H45" s="82" t="s">
        <v>72</v>
      </c>
      <c r="I45" s="88">
        <f t="shared" si="0"/>
        <v>0.24486871048575759</v>
      </c>
      <c r="J45" s="88">
        <f t="shared" si="1"/>
        <v>0.22111517970396755</v>
      </c>
      <c r="K45" s="88">
        <f t="shared" si="2"/>
        <v>0.20692519145557706</v>
      </c>
      <c r="L45" s="88">
        <f t="shared" si="3"/>
        <v>0.20201168345660586</v>
      </c>
      <c r="M45" s="88">
        <f t="shared" si="4"/>
        <v>0.18813761761930392</v>
      </c>
      <c r="N45" s="88">
        <f t="shared" si="5"/>
        <v>0.18982674198998531</v>
      </c>
      <c r="O45" s="88">
        <f t="shared" si="6"/>
        <v>0.17531503076541033</v>
      </c>
      <c r="P45" s="88">
        <f t="shared" si="7"/>
        <v>0.16741178550894306</v>
      </c>
      <c r="Q45" s="88">
        <f t="shared" si="8"/>
        <v>0.15294602978029298</v>
      </c>
      <c r="R45" s="55"/>
      <c r="S45" s="176">
        <f t="shared" si="9"/>
        <v>0</v>
      </c>
      <c r="T45" s="176">
        <f t="shared" si="10"/>
        <v>0</v>
      </c>
      <c r="U45" s="176">
        <f t="shared" si="11"/>
        <v>0</v>
      </c>
      <c r="V45" s="176">
        <f t="shared" si="12"/>
        <v>0</v>
      </c>
      <c r="W45" s="176">
        <f t="shared" si="13"/>
        <v>0</v>
      </c>
      <c r="X45" s="176">
        <f t="shared" si="14"/>
        <v>0</v>
      </c>
      <c r="Y45" s="176">
        <f t="shared" si="15"/>
        <v>0</v>
      </c>
      <c r="Z45" s="176">
        <f t="shared" si="16"/>
        <v>0</v>
      </c>
      <c r="AA45" s="176">
        <f t="shared" si="17"/>
        <v>0</v>
      </c>
      <c r="AB45" s="99"/>
      <c r="AC45" s="55"/>
      <c r="AD45" s="143"/>
      <c r="AU45" s="230"/>
    </row>
    <row r="46" spans="2:68" x14ac:dyDescent="0.25">
      <c r="B46" s="152"/>
      <c r="E46" s="144"/>
      <c r="F46" s="55"/>
      <c r="G46" s="55"/>
      <c r="H46" s="82" t="s">
        <v>73</v>
      </c>
      <c r="I46" s="88">
        <f t="shared" si="0"/>
        <v>0.25008540001366403</v>
      </c>
      <c r="J46" s="88">
        <f t="shared" si="1"/>
        <v>0.22660385440844141</v>
      </c>
      <c r="K46" s="88">
        <f t="shared" si="2"/>
        <v>0.20394936600594435</v>
      </c>
      <c r="L46" s="88">
        <f t="shared" si="3"/>
        <v>0.23268146956717622</v>
      </c>
      <c r="M46" s="88">
        <f t="shared" si="4"/>
        <v>0.19522627524949976</v>
      </c>
      <c r="N46" s="88">
        <f t="shared" si="5"/>
        <v>0.19925117029588951</v>
      </c>
      <c r="O46" s="88">
        <f t="shared" si="6"/>
        <v>0.17725621171825223</v>
      </c>
      <c r="P46" s="88">
        <f t="shared" si="7"/>
        <v>0.18758050025731007</v>
      </c>
      <c r="Q46" s="88">
        <f t="shared" si="8"/>
        <v>0.16652469945541379</v>
      </c>
      <c r="R46" s="55"/>
      <c r="S46" s="176">
        <f t="shared" si="9"/>
        <v>0</v>
      </c>
      <c r="T46" s="176">
        <f t="shared" si="10"/>
        <v>0</v>
      </c>
      <c r="U46" s="176">
        <f t="shared" si="11"/>
        <v>0</v>
      </c>
      <c r="V46" s="176">
        <f t="shared" si="12"/>
        <v>0</v>
      </c>
      <c r="W46" s="176">
        <f t="shared" si="13"/>
        <v>0</v>
      </c>
      <c r="X46" s="176">
        <f t="shared" si="14"/>
        <v>0</v>
      </c>
      <c r="Y46" s="176">
        <f t="shared" si="15"/>
        <v>0</v>
      </c>
      <c r="Z46" s="176">
        <f t="shared" si="16"/>
        <v>0</v>
      </c>
      <c r="AA46" s="176">
        <f t="shared" si="17"/>
        <v>0</v>
      </c>
      <c r="AB46" s="99"/>
      <c r="AC46" s="55"/>
      <c r="AD46" s="143"/>
      <c r="AU46" s="230"/>
    </row>
    <row r="47" spans="2:68" x14ac:dyDescent="0.25">
      <c r="B47" s="152"/>
      <c r="E47" s="144"/>
      <c r="F47" s="55"/>
      <c r="G47" s="55"/>
      <c r="H47" s="82" t="s">
        <v>74</v>
      </c>
      <c r="I47" s="88">
        <f t="shared" si="0"/>
        <v>0.27610131092787293</v>
      </c>
      <c r="J47" s="88">
        <f t="shared" si="1"/>
        <v>0.23831651271203921</v>
      </c>
      <c r="K47" s="88">
        <f t="shared" si="2"/>
        <v>0.23834422492015375</v>
      </c>
      <c r="L47" s="88">
        <f t="shared" si="3"/>
        <v>0.25583077746211408</v>
      </c>
      <c r="M47" s="88">
        <f t="shared" si="4"/>
        <v>0.22115019705152533</v>
      </c>
      <c r="N47" s="88">
        <f t="shared" si="5"/>
        <v>0.21766540540604717</v>
      </c>
      <c r="O47" s="88">
        <f t="shared" si="6"/>
        <v>0.2155485224597764</v>
      </c>
      <c r="P47" s="88">
        <f t="shared" si="7"/>
        <v>0.19841870655450808</v>
      </c>
      <c r="Q47" s="88">
        <f t="shared" si="8"/>
        <v>0.20024726202669599</v>
      </c>
      <c r="R47" s="55"/>
      <c r="S47" s="176">
        <f t="shared" si="9"/>
        <v>0</v>
      </c>
      <c r="T47" s="176">
        <f t="shared" si="10"/>
        <v>0</v>
      </c>
      <c r="U47" s="176">
        <f t="shared" si="11"/>
        <v>0</v>
      </c>
      <c r="V47" s="176">
        <f t="shared" si="12"/>
        <v>0</v>
      </c>
      <c r="W47" s="176">
        <f t="shared" si="13"/>
        <v>0</v>
      </c>
      <c r="X47" s="176">
        <f t="shared" si="14"/>
        <v>0</v>
      </c>
      <c r="Y47" s="176">
        <f t="shared" si="15"/>
        <v>0</v>
      </c>
      <c r="Z47" s="176">
        <f t="shared" si="16"/>
        <v>0</v>
      </c>
      <c r="AA47" s="176">
        <f t="shared" si="17"/>
        <v>0</v>
      </c>
      <c r="AB47" s="99"/>
      <c r="AC47" s="99"/>
      <c r="AD47" s="143"/>
      <c r="AU47" s="230"/>
    </row>
    <row r="48" spans="2:68" x14ac:dyDescent="0.25">
      <c r="B48" s="152"/>
      <c r="E48" s="144"/>
      <c r="F48" s="55"/>
      <c r="G48" s="55"/>
      <c r="H48" s="82" t="s">
        <v>75</v>
      </c>
      <c r="I48" s="88">
        <f t="shared" si="0"/>
        <v>0.27618454292425476</v>
      </c>
      <c r="J48" s="88">
        <f t="shared" si="1"/>
        <v>0.22863286754908399</v>
      </c>
      <c r="K48" s="88">
        <f t="shared" si="2"/>
        <v>0.2274858262050192</v>
      </c>
      <c r="L48" s="88">
        <f t="shared" si="3"/>
        <v>0.22249596966956464</v>
      </c>
      <c r="M48" s="88">
        <f t="shared" si="4"/>
        <v>0.2292927437137175</v>
      </c>
      <c r="N48" s="88">
        <f t="shared" si="5"/>
        <v>0.21553121710029802</v>
      </c>
      <c r="O48" s="88">
        <f t="shared" si="6"/>
        <v>0.19599128228947085</v>
      </c>
      <c r="P48" s="88">
        <f t="shared" si="7"/>
        <v>0.18361706575669431</v>
      </c>
      <c r="Q48" s="88">
        <f t="shared" si="8"/>
        <v>0.16395071664305336</v>
      </c>
      <c r="R48" s="55"/>
      <c r="S48" s="176">
        <f t="shared" si="9"/>
        <v>0</v>
      </c>
      <c r="T48" s="176">
        <f t="shared" si="10"/>
        <v>0</v>
      </c>
      <c r="U48" s="176">
        <f t="shared" si="11"/>
        <v>0</v>
      </c>
      <c r="V48" s="176">
        <f t="shared" si="12"/>
        <v>0</v>
      </c>
      <c r="W48" s="176">
        <f t="shared" si="13"/>
        <v>0</v>
      </c>
      <c r="X48" s="176">
        <f t="shared" si="14"/>
        <v>0</v>
      </c>
      <c r="Y48" s="176">
        <f t="shared" si="15"/>
        <v>0</v>
      </c>
      <c r="Z48" s="176">
        <f t="shared" si="16"/>
        <v>0</v>
      </c>
      <c r="AA48" s="176">
        <f t="shared" si="17"/>
        <v>0</v>
      </c>
      <c r="AB48" s="99"/>
      <c r="AC48" s="99"/>
      <c r="AD48" s="143"/>
      <c r="AU48" s="230"/>
    </row>
    <row r="49" spans="2:68" x14ac:dyDescent="0.25">
      <c r="B49" s="152"/>
      <c r="E49" s="144"/>
      <c r="F49" s="55"/>
      <c r="G49" s="55"/>
      <c r="H49" s="82" t="s">
        <v>76</v>
      </c>
      <c r="I49" s="88">
        <f t="shared" si="0"/>
        <v>0.20539525863240504</v>
      </c>
      <c r="J49" s="88">
        <f t="shared" si="1"/>
        <v>0.18743249520439118</v>
      </c>
      <c r="K49" s="88">
        <f t="shared" si="2"/>
        <v>0.17750142076096151</v>
      </c>
      <c r="L49" s="88">
        <f t="shared" si="3"/>
        <v>0.18190722262404513</v>
      </c>
      <c r="M49" s="88">
        <f t="shared" si="4"/>
        <v>0.16703624563630429</v>
      </c>
      <c r="N49" s="88">
        <f t="shared" si="5"/>
        <v>0.1507226625597097</v>
      </c>
      <c r="O49" s="88">
        <f t="shared" si="6"/>
        <v>0.15193598737241082</v>
      </c>
      <c r="P49" s="88">
        <f t="shared" si="7"/>
        <v>0.14127436155078246</v>
      </c>
      <c r="Q49" s="88">
        <f t="shared" si="8"/>
        <v>0.12567530948178224</v>
      </c>
      <c r="R49" s="99"/>
      <c r="S49" s="176">
        <f t="shared" si="9"/>
        <v>0</v>
      </c>
      <c r="T49" s="176">
        <f t="shared" si="10"/>
        <v>0</v>
      </c>
      <c r="U49" s="176">
        <f t="shared" si="11"/>
        <v>0</v>
      </c>
      <c r="V49" s="176">
        <f t="shared" si="12"/>
        <v>0</v>
      </c>
      <c r="W49" s="176">
        <f t="shared" si="13"/>
        <v>0</v>
      </c>
      <c r="X49" s="176">
        <f t="shared" si="14"/>
        <v>0</v>
      </c>
      <c r="Y49" s="176">
        <f t="shared" si="15"/>
        <v>0</v>
      </c>
      <c r="Z49" s="176">
        <f t="shared" si="16"/>
        <v>0</v>
      </c>
      <c r="AA49" s="176">
        <f t="shared" si="17"/>
        <v>0</v>
      </c>
      <c r="AB49" s="99"/>
      <c r="AC49" s="99"/>
      <c r="AD49" s="143"/>
      <c r="AU49" s="230"/>
    </row>
    <row r="50" spans="2:68" x14ac:dyDescent="0.25">
      <c r="B50" s="152"/>
      <c r="E50" s="144"/>
      <c r="F50" s="55"/>
      <c r="G50" s="55"/>
      <c r="H50" s="82"/>
      <c r="I50" s="88"/>
      <c r="J50" s="88"/>
      <c r="K50" s="88"/>
      <c r="L50" s="88"/>
      <c r="M50" s="88"/>
      <c r="N50" s="88"/>
      <c r="O50" s="88"/>
      <c r="P50" s="88"/>
      <c r="Q50" s="88"/>
      <c r="R50" s="99"/>
      <c r="S50" s="176"/>
      <c r="T50" s="176"/>
      <c r="U50" s="176"/>
      <c r="V50" s="176"/>
      <c r="W50" s="176"/>
      <c r="X50" s="176"/>
      <c r="Y50" s="176"/>
      <c r="Z50" s="176"/>
      <c r="AA50" s="176"/>
      <c r="AB50" s="99"/>
      <c r="AC50" s="99"/>
      <c r="AD50" s="143"/>
      <c r="AU50" s="230"/>
    </row>
    <row r="51" spans="2:68" x14ac:dyDescent="0.3">
      <c r="E51" s="144"/>
      <c r="F51" s="55"/>
      <c r="G51" s="55"/>
      <c r="H51" s="82" t="s">
        <v>110</v>
      </c>
      <c r="I51" s="88">
        <f t="shared" ref="I51:Q51" si="18">IFERROR(S77,"FAIL")</f>
        <v>0.25965957481888652</v>
      </c>
      <c r="J51" s="88">
        <f t="shared" si="18"/>
        <v>0.23038189217741886</v>
      </c>
      <c r="K51" s="88">
        <f t="shared" si="18"/>
        <v>0.21776833558506176</v>
      </c>
      <c r="L51" s="88">
        <f t="shared" si="18"/>
        <v>0.21739221476511991</v>
      </c>
      <c r="M51" s="88">
        <f t="shared" si="18"/>
        <v>0.20453659287085546</v>
      </c>
      <c r="N51" s="88">
        <f t="shared" si="18"/>
        <v>0.20069696844057927</v>
      </c>
      <c r="O51" s="88">
        <f t="shared" si="18"/>
        <v>0.18683899648317112</v>
      </c>
      <c r="P51" s="88">
        <f t="shared" si="18"/>
        <v>0.17350977623740982</v>
      </c>
      <c r="Q51" s="88">
        <f t="shared" si="18"/>
        <v>0.16046540737588269</v>
      </c>
      <c r="R51" s="99"/>
      <c r="S51" s="176">
        <f t="shared" ref="S51:AA51" si="19">IF(AV77&lt;16.6,0,IF(H78&lt;33.4,"E", "F"))</f>
        <v>0</v>
      </c>
      <c r="T51" s="176">
        <f t="shared" si="19"/>
        <v>0</v>
      </c>
      <c r="U51" s="176">
        <f t="shared" si="19"/>
        <v>0</v>
      </c>
      <c r="V51" s="176">
        <f t="shared" si="19"/>
        <v>0</v>
      </c>
      <c r="W51" s="176">
        <f t="shared" si="19"/>
        <v>0</v>
      </c>
      <c r="X51" s="176">
        <f t="shared" si="19"/>
        <v>0</v>
      </c>
      <c r="Y51" s="176">
        <f t="shared" si="19"/>
        <v>0</v>
      </c>
      <c r="Z51" s="176">
        <f t="shared" si="19"/>
        <v>0</v>
      </c>
      <c r="AA51" s="176">
        <f t="shared" si="19"/>
        <v>0</v>
      </c>
      <c r="AB51" s="99"/>
      <c r="AC51" s="99"/>
      <c r="AD51" s="143"/>
      <c r="AU51" s="230"/>
    </row>
    <row r="52" spans="2:68" x14ac:dyDescent="0.3">
      <c r="E52" s="144"/>
      <c r="F52" s="55"/>
      <c r="G52" s="55"/>
      <c r="H52" s="55"/>
      <c r="I52" s="55"/>
      <c r="J52" s="55"/>
      <c r="K52" s="55"/>
      <c r="L52" s="55"/>
      <c r="M52" s="55"/>
      <c r="N52" s="55"/>
      <c r="O52" s="55"/>
      <c r="P52" s="55"/>
      <c r="Q52" s="99"/>
      <c r="R52" s="99"/>
      <c r="S52" s="99"/>
      <c r="T52" s="99"/>
      <c r="U52" s="99"/>
      <c r="V52" s="99"/>
      <c r="W52" s="99"/>
      <c r="X52" s="99"/>
      <c r="Y52" s="99"/>
      <c r="Z52" s="99"/>
      <c r="AA52" s="99"/>
      <c r="AB52" s="99"/>
      <c r="AC52" s="99"/>
      <c r="AD52" s="143"/>
      <c r="AU52" s="230"/>
    </row>
    <row r="53" spans="2:68" ht="12.6" thickBot="1" x14ac:dyDescent="0.3">
      <c r="B53" s="86" t="s">
        <v>12</v>
      </c>
      <c r="E53" s="154"/>
      <c r="F53" s="60"/>
      <c r="G53" s="60"/>
      <c r="H53" s="60"/>
      <c r="I53" s="60"/>
      <c r="J53" s="60"/>
      <c r="K53" s="60"/>
      <c r="L53" s="60"/>
      <c r="M53" s="60"/>
      <c r="N53" s="60"/>
      <c r="O53" s="60"/>
      <c r="P53" s="60"/>
      <c r="Q53" s="155"/>
      <c r="R53" s="155"/>
      <c r="S53" s="155"/>
      <c r="T53" s="155"/>
      <c r="U53" s="155"/>
      <c r="V53" s="155"/>
      <c r="W53" s="155"/>
      <c r="X53" s="155"/>
      <c r="Y53" s="155"/>
      <c r="Z53" s="155"/>
      <c r="AA53" s="155"/>
      <c r="AB53" s="155"/>
      <c r="AC53" s="155"/>
      <c r="AD53" s="156"/>
      <c r="AU53" s="259"/>
    </row>
    <row r="54" spans="2:68" s="82" customFormat="1" x14ac:dyDescent="0.25">
      <c r="B54" s="152">
        <f>behaviouraz</f>
        <v>2</v>
      </c>
      <c r="E54" s="111"/>
      <c r="F54" s="181"/>
      <c r="G54" s="111"/>
      <c r="H54" s="61"/>
      <c r="I54" s="61"/>
      <c r="J54" s="61"/>
      <c r="K54" s="61"/>
      <c r="L54" s="61"/>
      <c r="M54" s="61"/>
      <c r="N54" s="61"/>
      <c r="O54" s="61"/>
      <c r="P54" s="61"/>
      <c r="BI54" s="111"/>
      <c r="BJ54" s="111"/>
      <c r="BK54" s="111"/>
      <c r="BL54" s="111"/>
      <c r="BM54" s="111"/>
      <c r="BN54" s="111"/>
      <c r="BO54" s="111"/>
      <c r="BP54" s="111"/>
    </row>
    <row r="55" spans="2:68" s="82" customFormat="1" x14ac:dyDescent="0.25">
      <c r="B55" s="152">
        <f>behaviourbz</f>
        <v>2</v>
      </c>
      <c r="E55" s="111"/>
      <c r="F55" s="181"/>
      <c r="G55" s="111"/>
      <c r="H55" s="61"/>
      <c r="I55" s="61"/>
      <c r="J55" s="61"/>
      <c r="K55" s="61"/>
      <c r="L55" s="61"/>
      <c r="M55" s="61"/>
      <c r="N55" s="61"/>
      <c r="O55" s="61"/>
      <c r="P55" s="61"/>
      <c r="BI55" s="111"/>
      <c r="BJ55" s="111"/>
      <c r="BK55" s="111"/>
      <c r="BL55" s="111"/>
      <c r="BM55" s="111"/>
      <c r="BN55" s="111"/>
      <c r="BO55" s="111"/>
      <c r="BP55" s="111"/>
    </row>
    <row r="56" spans="2:68" s="159" customFormat="1" x14ac:dyDescent="0.3">
      <c r="B56" s="157"/>
      <c r="C56" s="158"/>
      <c r="D56" s="158"/>
      <c r="E56" s="62" t="s">
        <v>13</v>
      </c>
      <c r="F56" s="62"/>
      <c r="G56" s="62"/>
      <c r="H56" s="62"/>
      <c r="I56" s="62"/>
      <c r="J56" s="62"/>
      <c r="K56" s="62"/>
      <c r="L56" s="62"/>
      <c r="M56" s="62"/>
      <c r="N56" s="62"/>
      <c r="O56" s="62"/>
      <c r="P56" s="62"/>
      <c r="BI56" s="198"/>
      <c r="BJ56" s="198"/>
      <c r="BK56" s="198"/>
      <c r="BL56" s="198"/>
      <c r="BM56" s="198"/>
      <c r="BN56" s="198"/>
      <c r="BO56" s="198"/>
      <c r="BP56" s="198"/>
    </row>
    <row r="57" spans="2:68" s="82" customFormat="1" x14ac:dyDescent="0.3">
      <c r="B57" s="149"/>
      <c r="E57" s="111"/>
      <c r="F57" s="181"/>
      <c r="G57" s="111"/>
      <c r="H57" s="61"/>
      <c r="I57" s="61"/>
      <c r="J57" s="61"/>
      <c r="K57" s="61"/>
      <c r="L57" s="61"/>
      <c r="M57" s="61"/>
      <c r="N57" s="61"/>
      <c r="O57" s="61"/>
      <c r="P57" s="61"/>
      <c r="BI57" s="111"/>
      <c r="BJ57" s="111"/>
      <c r="BK57" s="111"/>
      <c r="BL57" s="111"/>
      <c r="BM57" s="111"/>
      <c r="BN57" s="111"/>
      <c r="BO57" s="111"/>
      <c r="BP57" s="111"/>
    </row>
    <row r="58" spans="2:68" s="82" customFormat="1" x14ac:dyDescent="0.3">
      <c r="B58" s="149"/>
      <c r="E58" s="111"/>
      <c r="F58" s="181"/>
      <c r="G58" s="111"/>
      <c r="H58" s="61" t="s">
        <v>136</v>
      </c>
      <c r="I58" s="209" t="s">
        <v>194</v>
      </c>
      <c r="J58" s="61"/>
      <c r="K58" s="61"/>
      <c r="L58" s="61"/>
      <c r="M58" s="61"/>
      <c r="N58" s="61"/>
      <c r="O58" s="61"/>
      <c r="P58" s="61"/>
      <c r="R58" s="111"/>
      <c r="AC58" s="111"/>
      <c r="AN58" s="111"/>
      <c r="AX58" s="111"/>
      <c r="AY58" s="111"/>
      <c r="BI58" s="111"/>
      <c r="BJ58" s="111"/>
      <c r="BK58" s="111"/>
      <c r="BL58" s="111"/>
      <c r="BM58" s="111"/>
      <c r="BN58" s="111"/>
      <c r="BO58" s="111"/>
      <c r="BP58" s="111"/>
    </row>
    <row r="59" spans="2:68" s="161" customFormat="1" x14ac:dyDescent="0.3">
      <c r="B59" s="160"/>
      <c r="E59" s="184"/>
      <c r="F59" s="185"/>
      <c r="G59" s="194" t="s">
        <v>77</v>
      </c>
      <c r="H59" s="104" t="str">
        <f>INDEX(populationz,populationa)</f>
        <v>All ages, both sexes</v>
      </c>
      <c r="I59" s="105" t="s">
        <v>24</v>
      </c>
      <c r="J59" s="104"/>
      <c r="K59" s="105"/>
      <c r="L59" s="105"/>
      <c r="M59" s="105"/>
      <c r="N59" s="105"/>
      <c r="O59" s="105"/>
      <c r="P59" s="105"/>
      <c r="R59" s="184"/>
      <c r="AC59" s="184"/>
      <c r="AN59" s="184"/>
      <c r="AX59" s="184"/>
      <c r="AY59" s="184"/>
      <c r="BI59" s="184"/>
      <c r="BJ59" s="184"/>
      <c r="BK59" s="184"/>
      <c r="BL59" s="184"/>
      <c r="BM59" s="184"/>
      <c r="BN59" s="184"/>
      <c r="BO59" s="184"/>
      <c r="BP59" s="184"/>
    </row>
    <row r="60" spans="2:68" s="161" customFormat="1" x14ac:dyDescent="0.3">
      <c r="B60" s="160"/>
      <c r="E60" s="184"/>
      <c r="F60" s="185"/>
      <c r="G60" s="194"/>
      <c r="H60" s="104"/>
      <c r="I60" s="105" t="s">
        <v>24</v>
      </c>
      <c r="J60" s="104"/>
      <c r="K60" s="105"/>
      <c r="L60" s="105"/>
      <c r="M60" s="105"/>
      <c r="N60" s="105"/>
      <c r="O60" s="105"/>
      <c r="P60" s="105"/>
      <c r="R60" s="184"/>
      <c r="AC60" s="184"/>
      <c r="AN60" s="184"/>
      <c r="AX60" s="184"/>
      <c r="AY60" s="184"/>
      <c r="BI60" s="184"/>
      <c r="BJ60" s="184"/>
      <c r="BK60" s="184"/>
      <c r="BL60" s="184"/>
      <c r="BM60" s="184"/>
      <c r="BN60" s="184"/>
      <c r="BO60" s="184"/>
      <c r="BP60" s="184"/>
    </row>
    <row r="61" spans="2:68" s="161" customFormat="1" x14ac:dyDescent="0.3">
      <c r="B61" s="160"/>
      <c r="E61" s="184"/>
      <c r="F61" s="185"/>
      <c r="G61" s="194" t="s">
        <v>21</v>
      </c>
      <c r="H61" s="104" t="str">
        <f>INDEX(behaviourz,behaviouraz)</f>
        <v>Current smoker</v>
      </c>
      <c r="I61" s="105"/>
      <c r="J61" s="104"/>
      <c r="K61" s="105"/>
      <c r="L61" s="105"/>
      <c r="M61" s="105"/>
      <c r="N61" s="105"/>
      <c r="O61" s="105"/>
      <c r="P61" s="105"/>
      <c r="R61" s="184"/>
      <c r="AC61" s="184"/>
      <c r="AN61" s="184"/>
      <c r="AX61" s="184"/>
      <c r="AY61" s="184"/>
      <c r="BI61" s="184"/>
      <c r="BJ61" s="184"/>
      <c r="BK61" s="184"/>
      <c r="BL61" s="184"/>
      <c r="BM61" s="184"/>
      <c r="BN61" s="184"/>
      <c r="BO61" s="184"/>
      <c r="BP61" s="184"/>
    </row>
    <row r="62" spans="2:68" s="161" customFormat="1" x14ac:dyDescent="0.3">
      <c r="B62" s="160"/>
      <c r="E62" s="184"/>
      <c r="F62" s="185"/>
      <c r="G62" s="194" t="str">
        <f>CONCATENATE(I58, ", ", H59, ", ",H61)</f>
        <v>Percent of population, All ages, both sexes, Current smoker</v>
      </c>
      <c r="H62" s="104"/>
      <c r="I62" s="105"/>
      <c r="J62" s="105"/>
      <c r="K62" s="105"/>
      <c r="L62" s="105"/>
      <c r="M62" s="105"/>
      <c r="N62" s="105"/>
      <c r="O62" s="105"/>
      <c r="P62" s="105"/>
      <c r="R62" s="184"/>
      <c r="T62" s="162"/>
      <c r="AC62" s="184"/>
      <c r="AN62" s="184"/>
      <c r="AX62" s="184"/>
      <c r="AY62" s="184"/>
      <c r="BI62" s="184"/>
      <c r="BJ62" s="184"/>
      <c r="BK62" s="184"/>
      <c r="BL62" s="184"/>
      <c r="BM62" s="184"/>
      <c r="BN62" s="184"/>
      <c r="BO62" s="184"/>
      <c r="BP62" s="184"/>
    </row>
    <row r="63" spans="2:68" s="82" customFormat="1" x14ac:dyDescent="0.3">
      <c r="B63" s="149"/>
      <c r="E63" s="111"/>
      <c r="F63" s="181"/>
      <c r="G63" s="195"/>
      <c r="H63" s="119"/>
      <c r="I63" s="119"/>
      <c r="J63" s="119"/>
      <c r="K63" s="119"/>
      <c r="L63" s="119"/>
      <c r="M63" s="119"/>
      <c r="N63" s="119"/>
      <c r="O63" s="119"/>
      <c r="P63" s="119"/>
      <c r="R63" s="111"/>
      <c r="AC63" s="111"/>
      <c r="AN63" s="111"/>
      <c r="AX63" s="111"/>
      <c r="AY63" s="111"/>
      <c r="BI63" s="111"/>
      <c r="BJ63" s="111"/>
      <c r="BK63" s="111"/>
      <c r="BL63" s="111"/>
      <c r="BM63" s="111"/>
      <c r="BN63" s="111"/>
      <c r="BO63" s="111"/>
      <c r="BP63" s="111"/>
    </row>
    <row r="64" spans="2:68" s="82" customFormat="1" x14ac:dyDescent="0.3">
      <c r="B64" s="149"/>
      <c r="E64" s="111"/>
      <c r="F64" s="181"/>
      <c r="G64" s="195"/>
      <c r="H64" s="119" t="s">
        <v>11</v>
      </c>
      <c r="I64" s="119"/>
      <c r="J64" s="119"/>
      <c r="K64" s="119"/>
      <c r="L64" s="119"/>
      <c r="M64" s="119"/>
      <c r="N64" s="119"/>
      <c r="O64" s="119"/>
      <c r="P64" s="119"/>
      <c r="R64" s="111"/>
      <c r="S64" s="85" t="s">
        <v>90</v>
      </c>
      <c r="AC64" s="111"/>
      <c r="AN64" s="111"/>
      <c r="AU64" s="111"/>
      <c r="AV64" s="85" t="s">
        <v>161</v>
      </c>
      <c r="BI64" s="111"/>
      <c r="BJ64" s="111"/>
      <c r="BK64" s="111"/>
      <c r="BL64" s="111"/>
      <c r="BM64" s="111"/>
      <c r="BN64" s="111"/>
      <c r="BO64" s="111"/>
      <c r="BP64" s="111"/>
    </row>
    <row r="65" spans="2:68" s="82" customFormat="1" x14ac:dyDescent="0.3">
      <c r="B65" s="149"/>
      <c r="E65" s="111"/>
      <c r="F65" s="181"/>
      <c r="G65" s="195"/>
      <c r="H65" s="119"/>
      <c r="I65" s="119"/>
      <c r="J65" s="119"/>
      <c r="K65" s="119"/>
      <c r="L65" s="119"/>
      <c r="M65" s="119"/>
      <c r="N65" s="119"/>
      <c r="O65" s="119"/>
      <c r="P65" s="119"/>
      <c r="R65" s="111"/>
      <c r="AC65" s="111"/>
      <c r="AN65" s="111"/>
      <c r="AU65" s="111"/>
      <c r="BI65" s="111"/>
      <c r="BJ65" s="111"/>
      <c r="BK65" s="111"/>
      <c r="BL65" s="111"/>
      <c r="BM65" s="111"/>
      <c r="BN65" s="111"/>
      <c r="BO65" s="111"/>
      <c r="BP65" s="111"/>
    </row>
    <row r="66" spans="2:68" s="82" customFormat="1" x14ac:dyDescent="0.3">
      <c r="B66" s="149"/>
      <c r="E66" s="111"/>
      <c r="F66" s="181"/>
      <c r="G66" s="195"/>
      <c r="H66" s="121">
        <v>2001</v>
      </c>
      <c r="I66" s="121">
        <v>2003</v>
      </c>
      <c r="J66" s="121">
        <v>2005</v>
      </c>
      <c r="K66" s="122" t="s">
        <v>123</v>
      </c>
      <c r="L66" s="122" t="s">
        <v>124</v>
      </c>
      <c r="M66" s="122" t="s">
        <v>125</v>
      </c>
      <c r="N66" s="122" t="s">
        <v>126</v>
      </c>
      <c r="O66" s="122" t="s">
        <v>127</v>
      </c>
      <c r="P66" s="122" t="s">
        <v>128</v>
      </c>
      <c r="R66" s="195"/>
      <c r="S66" s="121">
        <v>2001</v>
      </c>
      <c r="T66" s="121">
        <v>2003</v>
      </c>
      <c r="U66" s="121">
        <v>2005</v>
      </c>
      <c r="V66" s="122" t="s">
        <v>123</v>
      </c>
      <c r="W66" s="122" t="s">
        <v>124</v>
      </c>
      <c r="X66" s="122" t="s">
        <v>125</v>
      </c>
      <c r="Y66" s="122" t="s">
        <v>126</v>
      </c>
      <c r="Z66" s="122" t="s">
        <v>127</v>
      </c>
      <c r="AA66" s="122" t="s">
        <v>128</v>
      </c>
      <c r="AC66" s="111"/>
      <c r="AN66" s="111"/>
      <c r="AU66" s="195"/>
      <c r="AV66" s="121">
        <v>2001</v>
      </c>
      <c r="AW66" s="121">
        <v>2003</v>
      </c>
      <c r="AX66" s="121">
        <v>2005</v>
      </c>
      <c r="AY66" s="122" t="s">
        <v>123</v>
      </c>
      <c r="AZ66" s="122" t="s">
        <v>124</v>
      </c>
      <c r="BA66" s="122" t="s">
        <v>125</v>
      </c>
      <c r="BB66" s="122" t="s">
        <v>126</v>
      </c>
      <c r="BC66" s="122" t="s">
        <v>127</v>
      </c>
      <c r="BD66" s="122" t="s">
        <v>128</v>
      </c>
      <c r="BI66" s="111"/>
      <c r="BJ66" s="111"/>
      <c r="BK66" s="111"/>
      <c r="BL66" s="111"/>
      <c r="BM66" s="111"/>
      <c r="BN66" s="111"/>
      <c r="BO66" s="111"/>
      <c r="BP66" s="111"/>
    </row>
    <row r="67" spans="2:68" s="82" customFormat="1" x14ac:dyDescent="0.3">
      <c r="B67" s="149"/>
      <c r="E67" s="111"/>
      <c r="F67" s="181"/>
      <c r="G67" s="82" t="s">
        <v>58</v>
      </c>
      <c r="H67" s="63">
        <f t="shared" ref="H67:P67" si="20">INDEX(rangeprovincez, populationvaluea+behaviourvalueaz,H$112)</f>
        <v>133735</v>
      </c>
      <c r="I67" s="63">
        <f t="shared" si="20"/>
        <v>110559</v>
      </c>
      <c r="J67" s="63">
        <f t="shared" si="20"/>
        <v>103662</v>
      </c>
      <c r="K67" s="63">
        <f t="shared" si="20"/>
        <v>110150</v>
      </c>
      <c r="L67" s="63">
        <f t="shared" si="20"/>
        <v>102779</v>
      </c>
      <c r="M67" s="63">
        <f t="shared" si="20"/>
        <v>103074</v>
      </c>
      <c r="N67" s="63">
        <f t="shared" si="20"/>
        <v>94052</v>
      </c>
      <c r="O67" s="63">
        <f t="shared" si="20"/>
        <v>99090</v>
      </c>
      <c r="P67" s="63">
        <f t="shared" si="20"/>
        <v>95648</v>
      </c>
      <c r="R67" s="82" t="s">
        <v>58</v>
      </c>
      <c r="S67" s="88">
        <f t="shared" ref="S67:AA67" si="21">INDEX(rangeprovincez, populationvaluea+behaviourvalueaz,AO$112)</f>
        <v>0.29003344162462968</v>
      </c>
      <c r="T67" s="88">
        <f t="shared" si="21"/>
        <v>0.24027774759307152</v>
      </c>
      <c r="U67" s="88">
        <f t="shared" si="21"/>
        <v>0.23096976016684045</v>
      </c>
      <c r="V67" s="88">
        <f t="shared" si="21"/>
        <v>0.24881859170710111</v>
      </c>
      <c r="W67" s="88">
        <f t="shared" si="21"/>
        <v>0.2307825305939149</v>
      </c>
      <c r="X67" s="88">
        <f t="shared" si="21"/>
        <v>0.23188699238021962</v>
      </c>
      <c r="Y67" s="88">
        <f t="shared" si="21"/>
        <v>0.20785753276918692</v>
      </c>
      <c r="Z67" s="88">
        <f t="shared" si="21"/>
        <v>0.21645343160276895</v>
      </c>
      <c r="AA67" s="88">
        <f t="shared" si="21"/>
        <v>0.20821469310275767</v>
      </c>
      <c r="AC67" s="111"/>
      <c r="AN67" s="111"/>
      <c r="AU67" s="82" t="s">
        <v>58</v>
      </c>
      <c r="AV67" s="283">
        <f t="shared" ref="AV67:BD67" si="22">INDEX(rangeprovincez, populationvaluea+behaviourvalueaz,S$112)</f>
        <v>3.3</v>
      </c>
      <c r="AW67" s="283">
        <f t="shared" si="22"/>
        <v>4.2</v>
      </c>
      <c r="AX67" s="283">
        <f t="shared" si="22"/>
        <v>4</v>
      </c>
      <c r="AY67" s="283">
        <f t="shared" si="22"/>
        <v>3.8</v>
      </c>
      <c r="AZ67" s="283">
        <f t="shared" si="22"/>
        <v>4.0999999999999996</v>
      </c>
      <c r="BA67" s="283">
        <f t="shared" si="22"/>
        <v>4.5</v>
      </c>
      <c r="BB67" s="283">
        <f t="shared" si="22"/>
        <v>4.5999999999999996</v>
      </c>
      <c r="BC67" s="283">
        <f t="shared" si="22"/>
        <v>4.8</v>
      </c>
      <c r="BD67" s="283">
        <f t="shared" si="22"/>
        <v>4.8</v>
      </c>
      <c r="BI67" s="111"/>
      <c r="BJ67" s="111"/>
      <c r="BK67" s="111"/>
      <c r="BL67" s="111"/>
      <c r="BM67" s="111"/>
      <c r="BN67" s="111"/>
      <c r="BO67" s="111"/>
      <c r="BP67" s="111"/>
    </row>
    <row r="68" spans="2:68" s="82" customFormat="1" x14ac:dyDescent="0.3">
      <c r="B68" s="149"/>
      <c r="E68" s="111"/>
      <c r="F68" s="181"/>
      <c r="G68" s="82" t="s">
        <v>68</v>
      </c>
      <c r="H68" s="63">
        <f t="shared" ref="H68:P68" si="23">INDEX(rangeprovincez, 41 + populationvaluea+behaviourvalueaz,H$112)</f>
        <v>32411</v>
      </c>
      <c r="I68" s="63">
        <f t="shared" si="23"/>
        <v>28197</v>
      </c>
      <c r="J68" s="63">
        <f t="shared" si="23"/>
        <v>26031</v>
      </c>
      <c r="K68" s="63">
        <f t="shared" si="23"/>
        <v>25328</v>
      </c>
      <c r="L68" s="63">
        <f t="shared" si="23"/>
        <v>26632</v>
      </c>
      <c r="M68" s="63">
        <f t="shared" si="23"/>
        <v>26791</v>
      </c>
      <c r="N68" s="63">
        <f t="shared" si="23"/>
        <v>24365</v>
      </c>
      <c r="O68" s="63">
        <f t="shared" si="23"/>
        <v>18972</v>
      </c>
      <c r="P68" s="63">
        <f t="shared" si="23"/>
        <v>21914</v>
      </c>
      <c r="R68" s="82" t="s">
        <v>68</v>
      </c>
      <c r="S68" s="88">
        <f t="shared" ref="S68:AA68" si="24">INDEX(rangeprovincez, 41 + populationvaluea+behaviourvalueaz,AO$112)</f>
        <v>0.27861975293783903</v>
      </c>
      <c r="T68" s="88">
        <f t="shared" si="24"/>
        <v>0.2361379795492802</v>
      </c>
      <c r="U68" s="88">
        <f t="shared" si="24"/>
        <v>0.2215837993820067</v>
      </c>
      <c r="V68" s="88">
        <f t="shared" si="24"/>
        <v>0.21217883740607016</v>
      </c>
      <c r="W68" s="88">
        <f t="shared" si="24"/>
        <v>0.21846161418130214</v>
      </c>
      <c r="X68" s="88">
        <f t="shared" si="24"/>
        <v>0.21428685692347069</v>
      </c>
      <c r="Y68" s="88">
        <f t="shared" si="24"/>
        <v>0.19399966558645784</v>
      </c>
      <c r="Z68" s="88">
        <f t="shared" si="24"/>
        <v>0.15105215805858327</v>
      </c>
      <c r="AA68" s="88">
        <f t="shared" si="24"/>
        <v>0.17007636905501056</v>
      </c>
      <c r="AC68" s="111"/>
      <c r="AN68" s="111"/>
      <c r="AU68" s="82" t="s">
        <v>68</v>
      </c>
      <c r="AV68" s="283">
        <f t="shared" ref="AV68:BD68" si="25">INDEX(rangeprovincez, 41 + populationvaluea+behaviourvalueaz,S$112)</f>
        <v>3.9</v>
      </c>
      <c r="AW68" s="283">
        <f t="shared" si="25"/>
        <v>5.6</v>
      </c>
      <c r="AX68" s="283">
        <f t="shared" si="25"/>
        <v>5.7</v>
      </c>
      <c r="AY68" s="283">
        <f t="shared" si="25"/>
        <v>5.0999999999999996</v>
      </c>
      <c r="AZ68" s="283">
        <f t="shared" si="25"/>
        <v>5.8</v>
      </c>
      <c r="BA68" s="283">
        <f t="shared" si="25"/>
        <v>6.6</v>
      </c>
      <c r="BB68" s="283">
        <f t="shared" si="25"/>
        <v>6.2</v>
      </c>
      <c r="BC68" s="283">
        <f t="shared" si="25"/>
        <v>7.1</v>
      </c>
      <c r="BD68" s="283">
        <f t="shared" si="25"/>
        <v>6.3</v>
      </c>
      <c r="BI68" s="111"/>
      <c r="BJ68" s="111"/>
      <c r="BK68" s="111"/>
      <c r="BL68" s="111"/>
      <c r="BM68" s="111"/>
      <c r="BN68" s="111"/>
      <c r="BO68" s="111"/>
      <c r="BP68" s="111"/>
    </row>
    <row r="69" spans="2:68" s="82" customFormat="1" x14ac:dyDescent="0.3">
      <c r="B69" s="149"/>
      <c r="E69" s="111"/>
      <c r="F69" s="181"/>
      <c r="G69" s="82" t="s">
        <v>69</v>
      </c>
      <c r="H69" s="63">
        <f t="shared" ref="H69:P69" si="26">INDEX(rangeprovincez, 82 + populationvaluea+behaviourvalueaz,H$112)</f>
        <v>222299</v>
      </c>
      <c r="I69" s="63">
        <f t="shared" si="26"/>
        <v>187610</v>
      </c>
      <c r="J69" s="63">
        <f t="shared" si="26"/>
        <v>180177</v>
      </c>
      <c r="K69" s="63">
        <f t="shared" si="26"/>
        <v>191524</v>
      </c>
      <c r="L69" s="63">
        <f t="shared" si="26"/>
        <v>186683</v>
      </c>
      <c r="M69" s="63">
        <f t="shared" si="26"/>
        <v>183999</v>
      </c>
      <c r="N69" s="63">
        <f t="shared" si="26"/>
        <v>175242</v>
      </c>
      <c r="O69" s="63">
        <f t="shared" si="26"/>
        <v>156044</v>
      </c>
      <c r="P69" s="63">
        <f t="shared" si="26"/>
        <v>146055</v>
      </c>
      <c r="R69" s="82" t="s">
        <v>69</v>
      </c>
      <c r="S69" s="88">
        <f t="shared" ref="S69:AA69" si="27">INDEX(rangeprovincez, 82 + populationvaluea+behaviourvalueaz,AO$112)</f>
        <v>0.28211571238027794</v>
      </c>
      <c r="T69" s="88">
        <f t="shared" si="27"/>
        <v>0.23521815446339017</v>
      </c>
      <c r="U69" s="88">
        <f t="shared" si="27"/>
        <v>0.2263572806020214</v>
      </c>
      <c r="V69" s="88">
        <f t="shared" si="27"/>
        <v>0.23971993206074479</v>
      </c>
      <c r="W69" s="88">
        <f t="shared" si="27"/>
        <v>0.2316344433442771</v>
      </c>
      <c r="X69" s="88">
        <f t="shared" si="27"/>
        <v>0.22743470796112328</v>
      </c>
      <c r="Y69" s="88">
        <f t="shared" si="27"/>
        <v>0.21633933432341645</v>
      </c>
      <c r="Z69" s="88">
        <f t="shared" si="27"/>
        <v>0.19265452462319499</v>
      </c>
      <c r="AA69" s="88">
        <f t="shared" si="27"/>
        <v>0.17888725038703482</v>
      </c>
      <c r="AC69" s="111"/>
      <c r="AN69" s="111"/>
      <c r="AU69" s="82" t="s">
        <v>69</v>
      </c>
      <c r="AV69" s="283">
        <f t="shared" ref="AV69:BD69" si="28">INDEX(rangeprovincez, 82 + populationvaluea+behaviourvalueaz,S$112)</f>
        <v>2.9</v>
      </c>
      <c r="AW69" s="283">
        <f t="shared" si="28"/>
        <v>4.4000000000000004</v>
      </c>
      <c r="AX69" s="283">
        <f t="shared" si="28"/>
        <v>4</v>
      </c>
      <c r="AY69" s="283">
        <f t="shared" si="28"/>
        <v>3.8</v>
      </c>
      <c r="AZ69" s="283">
        <f t="shared" si="28"/>
        <v>4.2</v>
      </c>
      <c r="BA69" s="283">
        <f t="shared" si="28"/>
        <v>3.9</v>
      </c>
      <c r="BB69" s="283">
        <f t="shared" si="28"/>
        <v>3.6</v>
      </c>
      <c r="BC69" s="283">
        <f t="shared" si="28"/>
        <v>4.3</v>
      </c>
      <c r="BD69" s="283">
        <f t="shared" si="28"/>
        <v>4.5999999999999996</v>
      </c>
      <c r="BI69" s="111"/>
      <c r="BJ69" s="111"/>
      <c r="BK69" s="111"/>
      <c r="BL69" s="111"/>
      <c r="BM69" s="111"/>
      <c r="BN69" s="111"/>
      <c r="BO69" s="111"/>
      <c r="BP69" s="111"/>
    </row>
    <row r="70" spans="2:68" s="82" customFormat="1" x14ac:dyDescent="0.3">
      <c r="B70" s="149"/>
      <c r="E70" s="111"/>
      <c r="F70" s="181"/>
      <c r="G70" s="82" t="s">
        <v>70</v>
      </c>
      <c r="H70" s="63">
        <f t="shared" ref="H70:P70" si="29">INDEX(rangeprovincez, 123 + populationvaluea+behaviourvalueaz,H$112)</f>
        <v>167436</v>
      </c>
      <c r="I70" s="63">
        <f t="shared" si="29"/>
        <v>161495</v>
      </c>
      <c r="J70" s="63">
        <f t="shared" si="29"/>
        <v>143543</v>
      </c>
      <c r="K70" s="63">
        <f t="shared" si="29"/>
        <v>149668</v>
      </c>
      <c r="L70" s="63">
        <f t="shared" si="29"/>
        <v>142276</v>
      </c>
      <c r="M70" s="63">
        <f t="shared" si="29"/>
        <v>145670</v>
      </c>
      <c r="N70" s="63">
        <f t="shared" si="29"/>
        <v>136481</v>
      </c>
      <c r="O70" s="63">
        <f t="shared" si="29"/>
        <v>117217</v>
      </c>
      <c r="P70" s="63">
        <f t="shared" si="29"/>
        <v>92813</v>
      </c>
      <c r="R70" s="82" t="s">
        <v>70</v>
      </c>
      <c r="S70" s="88">
        <f t="shared" ref="S70:AA70" si="30">INDEX(rangeprovincez, 123 + populationvaluea+behaviourvalueaz,AO$112)</f>
        <v>0.26398512919719425</v>
      </c>
      <c r="T70" s="88">
        <f t="shared" si="30"/>
        <v>0.25290259738225962</v>
      </c>
      <c r="U70" s="88">
        <f t="shared" si="30"/>
        <v>0.2249079485451953</v>
      </c>
      <c r="V70" s="88">
        <f t="shared" si="30"/>
        <v>0.2332072778720467</v>
      </c>
      <c r="W70" s="88">
        <f t="shared" si="30"/>
        <v>0.22093884567543687</v>
      </c>
      <c r="X70" s="88">
        <f t="shared" si="30"/>
        <v>0.22626556964030811</v>
      </c>
      <c r="Y70" s="88">
        <f t="shared" si="30"/>
        <v>0.21198165986884818</v>
      </c>
      <c r="Z70" s="88">
        <f t="shared" si="30"/>
        <v>0.18230158137683053</v>
      </c>
      <c r="AA70" s="88">
        <f t="shared" si="30"/>
        <v>0.1439523658855863</v>
      </c>
      <c r="AC70" s="111"/>
      <c r="AN70" s="111"/>
      <c r="AU70" s="82" t="s">
        <v>70</v>
      </c>
      <c r="AV70" s="283">
        <f t="shared" ref="AV70:BD70" si="31">INDEX(rangeprovincez, 123 + populationvaluea+behaviourvalueaz,S$112)</f>
        <v>3.1</v>
      </c>
      <c r="AW70" s="283">
        <f t="shared" si="31"/>
        <v>2.8</v>
      </c>
      <c r="AX70" s="283">
        <f t="shared" si="31"/>
        <v>3.8</v>
      </c>
      <c r="AY70" s="283">
        <f t="shared" si="31"/>
        <v>3.5</v>
      </c>
      <c r="AZ70" s="283">
        <f t="shared" si="31"/>
        <v>3.5</v>
      </c>
      <c r="BA70" s="283">
        <f t="shared" si="31"/>
        <v>3.8</v>
      </c>
      <c r="BB70" s="283">
        <f t="shared" si="31"/>
        <v>3.6</v>
      </c>
      <c r="BC70" s="283">
        <f t="shared" si="31"/>
        <v>5.5</v>
      </c>
      <c r="BD70" s="283">
        <f t="shared" si="31"/>
        <v>5.7</v>
      </c>
      <c r="BI70" s="111"/>
      <c r="BJ70" s="111"/>
      <c r="BK70" s="111"/>
      <c r="BL70" s="111"/>
      <c r="BM70" s="111"/>
      <c r="BN70" s="111"/>
      <c r="BO70" s="111"/>
      <c r="BP70" s="111"/>
    </row>
    <row r="71" spans="2:68" s="82" customFormat="1" x14ac:dyDescent="0.3">
      <c r="B71" s="149"/>
      <c r="E71" s="111"/>
      <c r="F71" s="181"/>
      <c r="G71" s="82" t="s">
        <v>71</v>
      </c>
      <c r="H71" s="63">
        <f t="shared" ref="H71:P71" si="32">INDEX(rangeprovincez, 164+populationvaluea+behaviourvalueaz,H$112)</f>
        <v>1830865</v>
      </c>
      <c r="I71" s="63">
        <f t="shared" si="32"/>
        <v>1639343</v>
      </c>
      <c r="J71" s="63">
        <f t="shared" si="32"/>
        <v>1576386</v>
      </c>
      <c r="K71" s="63">
        <f t="shared" si="32"/>
        <v>1594257</v>
      </c>
      <c r="L71" s="63">
        <f t="shared" si="32"/>
        <v>1532089</v>
      </c>
      <c r="M71" s="63">
        <f t="shared" si="32"/>
        <v>1523724</v>
      </c>
      <c r="N71" s="63">
        <f t="shared" si="32"/>
        <v>1422056</v>
      </c>
      <c r="O71" s="63">
        <f t="shared" si="32"/>
        <v>1295663</v>
      </c>
      <c r="P71" s="63">
        <f t="shared" si="32"/>
        <v>1279607</v>
      </c>
      <c r="R71" s="82" t="s">
        <v>71</v>
      </c>
      <c r="S71" s="88">
        <f t="shared" ref="S71:AA71" si="33">INDEX(rangeprovincez, 164+populationvaluea+behaviourvalueaz,AO$112)</f>
        <v>0.29450639919031307</v>
      </c>
      <c r="T71" s="88">
        <f t="shared" si="33"/>
        <v>0.25825120331853463</v>
      </c>
      <c r="U71" s="88">
        <f t="shared" si="33"/>
        <v>0.24373524958810169</v>
      </c>
      <c r="V71" s="88">
        <f t="shared" si="33"/>
        <v>0.24162218443379499</v>
      </c>
      <c r="W71" s="88">
        <f t="shared" si="33"/>
        <v>0.22823216894515641</v>
      </c>
      <c r="X71" s="88">
        <f t="shared" si="33"/>
        <v>0.22314967502702007</v>
      </c>
      <c r="Y71" s="88">
        <f t="shared" si="33"/>
        <v>0.20418018780678768</v>
      </c>
      <c r="Z71" s="88">
        <f t="shared" si="33"/>
        <v>0.18358584842406667</v>
      </c>
      <c r="AA71" s="88">
        <f t="shared" si="33"/>
        <v>0.17875765506331501</v>
      </c>
      <c r="AC71" s="111"/>
      <c r="AN71" s="111"/>
      <c r="AU71" s="82" t="s">
        <v>71</v>
      </c>
      <c r="AV71" s="283">
        <f t="shared" ref="AV71:BD71" si="34">INDEX(rangeprovincez, 164+populationvaluea+behaviourvalueaz,S$112)</f>
        <v>1.7</v>
      </c>
      <c r="AW71" s="283">
        <f t="shared" si="34"/>
        <v>1.8</v>
      </c>
      <c r="AX71" s="283">
        <f t="shared" si="34"/>
        <v>1.8</v>
      </c>
      <c r="AY71" s="283">
        <f t="shared" si="34"/>
        <v>1.5</v>
      </c>
      <c r="AZ71" s="283">
        <f t="shared" si="34"/>
        <v>1.7</v>
      </c>
      <c r="BA71" s="283">
        <f t="shared" si="34"/>
        <v>2.1</v>
      </c>
      <c r="BB71" s="283">
        <f t="shared" si="34"/>
        <v>2.1</v>
      </c>
      <c r="BC71" s="283">
        <f t="shared" si="34"/>
        <v>2.6</v>
      </c>
      <c r="BD71" s="283">
        <f t="shared" si="34"/>
        <v>2.5</v>
      </c>
      <c r="BI71" s="111"/>
      <c r="BJ71" s="111"/>
      <c r="BK71" s="111"/>
      <c r="BL71" s="111"/>
      <c r="BM71" s="111"/>
      <c r="BN71" s="111"/>
      <c r="BO71" s="111"/>
      <c r="BP71" s="111"/>
    </row>
    <row r="72" spans="2:68" s="82" customFormat="1" x14ac:dyDescent="0.3">
      <c r="B72" s="149"/>
      <c r="E72" s="111"/>
      <c r="F72" s="181"/>
      <c r="G72" s="82" t="s">
        <v>72</v>
      </c>
      <c r="H72" s="63">
        <f t="shared" ref="H72:P72" si="35">INDEX(rangeprovincez, 205+populationvaluea+behaviourvalueaz,H$112)</f>
        <v>2418640</v>
      </c>
      <c r="I72" s="63">
        <f t="shared" si="35"/>
        <v>2272785</v>
      </c>
      <c r="J72" s="63">
        <f t="shared" si="35"/>
        <v>2187215</v>
      </c>
      <c r="K72" s="63">
        <f t="shared" si="35"/>
        <v>2209022</v>
      </c>
      <c r="L72" s="63">
        <f t="shared" si="35"/>
        <v>2108523</v>
      </c>
      <c r="M72" s="63">
        <f t="shared" si="35"/>
        <v>2174158</v>
      </c>
      <c r="N72" s="63">
        <f t="shared" si="35"/>
        <v>2048050</v>
      </c>
      <c r="O72" s="63">
        <f t="shared" si="35"/>
        <v>1979675</v>
      </c>
      <c r="P72" s="63">
        <f t="shared" si="35"/>
        <v>1861907</v>
      </c>
      <c r="R72" s="82" t="s">
        <v>72</v>
      </c>
      <c r="S72" s="88">
        <f t="shared" ref="S72:AA72" si="36">INDEX(rangeprovincez, 205+populationvaluea+behaviourvalueaz,AO$112)</f>
        <v>0.24486871048575759</v>
      </c>
      <c r="T72" s="88">
        <f t="shared" si="36"/>
        <v>0.22111517970396755</v>
      </c>
      <c r="U72" s="88">
        <f t="shared" si="36"/>
        <v>0.20692519145557706</v>
      </c>
      <c r="V72" s="88">
        <f t="shared" si="36"/>
        <v>0.20201168345660586</v>
      </c>
      <c r="W72" s="88">
        <f t="shared" si="36"/>
        <v>0.18813761761930392</v>
      </c>
      <c r="X72" s="88">
        <f t="shared" si="36"/>
        <v>0.18982674198998531</v>
      </c>
      <c r="Y72" s="88">
        <f t="shared" si="36"/>
        <v>0.17531503076541033</v>
      </c>
      <c r="Z72" s="88">
        <f t="shared" si="36"/>
        <v>0.16741178550894306</v>
      </c>
      <c r="AA72" s="88">
        <f t="shared" si="36"/>
        <v>0.15294602978029298</v>
      </c>
      <c r="AC72" s="111"/>
      <c r="AN72" s="111"/>
      <c r="AU72" s="82" t="s">
        <v>72</v>
      </c>
      <c r="AV72" s="283">
        <f t="shared" ref="AV72:BD72" si="37">INDEX(rangeprovincez, 205+populationvaluea+behaviourvalueaz,S$112)</f>
        <v>1.5</v>
      </c>
      <c r="AW72" s="283">
        <f t="shared" si="37"/>
        <v>1.5</v>
      </c>
      <c r="AX72" s="283">
        <f t="shared" si="37"/>
        <v>1.5</v>
      </c>
      <c r="AY72" s="283">
        <f t="shared" si="37"/>
        <v>1.6</v>
      </c>
      <c r="AZ72" s="283">
        <f t="shared" si="37"/>
        <v>1.3</v>
      </c>
      <c r="BA72" s="283">
        <f t="shared" si="37"/>
        <v>1.5</v>
      </c>
      <c r="BB72" s="283">
        <f t="shared" si="37"/>
        <v>1.6</v>
      </c>
      <c r="BC72" s="283">
        <f t="shared" si="37"/>
        <v>2.6</v>
      </c>
      <c r="BD72" s="283">
        <f t="shared" si="37"/>
        <v>2.6</v>
      </c>
      <c r="BI72" s="111"/>
      <c r="BJ72" s="111"/>
      <c r="BK72" s="111"/>
      <c r="BL72" s="111"/>
      <c r="BM72" s="111"/>
      <c r="BN72" s="111"/>
      <c r="BO72" s="111"/>
      <c r="BP72" s="111"/>
    </row>
    <row r="73" spans="2:68" s="82" customFormat="1" x14ac:dyDescent="0.3">
      <c r="B73" s="149"/>
      <c r="E73" s="111"/>
      <c r="F73" s="181"/>
      <c r="G73" s="82" t="s">
        <v>73</v>
      </c>
      <c r="H73" s="63">
        <f t="shared" ref="H73:P73" si="38">INDEX(rangeprovincez, 246+populationvaluea+behaviourvalueaz,H$112)</f>
        <v>226951</v>
      </c>
      <c r="I73" s="63">
        <f t="shared" si="38"/>
        <v>207367</v>
      </c>
      <c r="J73" s="63">
        <f t="shared" si="38"/>
        <v>190762</v>
      </c>
      <c r="K73" s="63">
        <f t="shared" si="38"/>
        <v>221046</v>
      </c>
      <c r="L73" s="63">
        <f t="shared" si="38"/>
        <v>190649</v>
      </c>
      <c r="M73" s="63">
        <f t="shared" si="38"/>
        <v>199669</v>
      </c>
      <c r="N73" s="63">
        <f t="shared" si="38"/>
        <v>180553</v>
      </c>
      <c r="O73" s="63">
        <f t="shared" si="38"/>
        <v>193551</v>
      </c>
      <c r="P73" s="63">
        <f t="shared" si="38"/>
        <v>175947</v>
      </c>
      <c r="R73" s="82" t="s">
        <v>73</v>
      </c>
      <c r="S73" s="88">
        <f t="shared" ref="S73:AA73" si="39">INDEX(rangeprovincez, 246+populationvaluea+behaviourvalueaz,AO$112)</f>
        <v>0.25008540001366403</v>
      </c>
      <c r="T73" s="88">
        <f t="shared" si="39"/>
        <v>0.22660385440844141</v>
      </c>
      <c r="U73" s="88">
        <f t="shared" si="39"/>
        <v>0.20394936600594435</v>
      </c>
      <c r="V73" s="88">
        <f t="shared" si="39"/>
        <v>0.23268146956717622</v>
      </c>
      <c r="W73" s="88">
        <f t="shared" si="39"/>
        <v>0.19522627524949976</v>
      </c>
      <c r="X73" s="88">
        <f t="shared" si="39"/>
        <v>0.19925117029588951</v>
      </c>
      <c r="Y73" s="88">
        <f t="shared" si="39"/>
        <v>0.17725621171825223</v>
      </c>
      <c r="Z73" s="88">
        <f t="shared" si="39"/>
        <v>0.18758050025731007</v>
      </c>
      <c r="AA73" s="88">
        <f t="shared" si="39"/>
        <v>0.16652469945541379</v>
      </c>
      <c r="AC73" s="111"/>
      <c r="AN73" s="111"/>
      <c r="AU73" s="82" t="s">
        <v>73</v>
      </c>
      <c r="AV73" s="283">
        <f t="shared" ref="AV73:BD73" si="40">INDEX(rangeprovincez, 246+populationvaluea+behaviourvalueaz,S$112)</f>
        <v>3.1</v>
      </c>
      <c r="AW73" s="283">
        <f t="shared" si="40"/>
        <v>3.8</v>
      </c>
      <c r="AX73" s="283">
        <f t="shared" si="40"/>
        <v>4.2</v>
      </c>
      <c r="AY73" s="283">
        <f t="shared" si="40"/>
        <v>3.6</v>
      </c>
      <c r="AZ73" s="283">
        <f t="shared" si="40"/>
        <v>5</v>
      </c>
      <c r="BA73" s="283">
        <f t="shared" si="40"/>
        <v>5.0999999999999996</v>
      </c>
      <c r="BB73" s="283">
        <f t="shared" si="40"/>
        <v>3.7</v>
      </c>
      <c r="BC73" s="283">
        <f t="shared" si="40"/>
        <v>5</v>
      </c>
      <c r="BD73" s="283">
        <f t="shared" si="40"/>
        <v>5.2</v>
      </c>
      <c r="BI73" s="111"/>
      <c r="BJ73" s="111"/>
      <c r="BK73" s="111"/>
      <c r="BL73" s="111"/>
      <c r="BM73" s="111"/>
      <c r="BN73" s="111"/>
      <c r="BO73" s="111"/>
      <c r="BP73" s="111"/>
    </row>
    <row r="74" spans="2:68" s="82" customFormat="1" x14ac:dyDescent="0.3">
      <c r="B74" s="149"/>
      <c r="E74" s="111"/>
      <c r="F74" s="181"/>
      <c r="G74" s="82" t="s">
        <v>74</v>
      </c>
      <c r="H74" s="63">
        <f t="shared" ref="H74:P74" si="41">INDEX(rangeprovincez, 287+populationvaluea+behaviourvalueaz,H$112)</f>
        <v>222536</v>
      </c>
      <c r="I74" s="63">
        <f t="shared" si="41"/>
        <v>190632</v>
      </c>
      <c r="J74" s="63">
        <f t="shared" si="41"/>
        <v>187759</v>
      </c>
      <c r="K74" s="63">
        <f t="shared" si="41"/>
        <v>203694</v>
      </c>
      <c r="L74" s="63">
        <f t="shared" si="41"/>
        <v>181812</v>
      </c>
      <c r="M74" s="63">
        <f t="shared" si="41"/>
        <v>183335</v>
      </c>
      <c r="N74" s="63">
        <f t="shared" si="41"/>
        <v>188722</v>
      </c>
      <c r="O74" s="63">
        <f t="shared" si="41"/>
        <v>178230</v>
      </c>
      <c r="P74" s="63">
        <f t="shared" si="41"/>
        <v>183190</v>
      </c>
      <c r="R74" s="82" t="s">
        <v>74</v>
      </c>
      <c r="S74" s="88">
        <f t="shared" ref="S74:AA74" si="42">INDEX(rangeprovincez, 287+populationvaluea+behaviourvalueaz,AO$112)</f>
        <v>0.27610131092787293</v>
      </c>
      <c r="T74" s="88">
        <f t="shared" si="42"/>
        <v>0.23831651271203921</v>
      </c>
      <c r="U74" s="88">
        <f t="shared" si="42"/>
        <v>0.23834422492015375</v>
      </c>
      <c r="V74" s="88">
        <f t="shared" si="42"/>
        <v>0.25583077746211408</v>
      </c>
      <c r="W74" s="88">
        <f t="shared" si="42"/>
        <v>0.22115019705152533</v>
      </c>
      <c r="X74" s="88">
        <f t="shared" si="42"/>
        <v>0.21766540540604717</v>
      </c>
      <c r="Y74" s="88">
        <f t="shared" si="42"/>
        <v>0.2155485224597764</v>
      </c>
      <c r="Z74" s="88">
        <f t="shared" si="42"/>
        <v>0.19841870655450808</v>
      </c>
      <c r="AA74" s="88">
        <f t="shared" si="42"/>
        <v>0.20024726202669599</v>
      </c>
      <c r="AC74" s="111"/>
      <c r="AN74" s="111"/>
      <c r="AU74" s="82" t="s">
        <v>74</v>
      </c>
      <c r="AV74" s="283">
        <f t="shared" ref="AV74:BD74" si="43">INDEX(rangeprovincez, 287+populationvaluea+behaviourvalueaz,S$112)</f>
        <v>2.6</v>
      </c>
      <c r="AW74" s="283">
        <f t="shared" si="43"/>
        <v>3.5</v>
      </c>
      <c r="AX74" s="283">
        <f t="shared" si="43"/>
        <v>2.7</v>
      </c>
      <c r="AY74" s="283">
        <f t="shared" si="43"/>
        <v>2.6</v>
      </c>
      <c r="AZ74" s="283">
        <f t="shared" si="43"/>
        <v>3.9</v>
      </c>
      <c r="BA74" s="283">
        <f t="shared" si="43"/>
        <v>3.1</v>
      </c>
      <c r="BB74" s="283">
        <f t="shared" si="43"/>
        <v>3.5</v>
      </c>
      <c r="BC74" s="283">
        <f t="shared" si="43"/>
        <v>4.7</v>
      </c>
      <c r="BD74" s="283">
        <f t="shared" si="43"/>
        <v>4.9000000000000004</v>
      </c>
      <c r="BI74" s="111"/>
      <c r="BJ74" s="111"/>
      <c r="BK74" s="111"/>
      <c r="BL74" s="111"/>
      <c r="BM74" s="111"/>
      <c r="BN74" s="111"/>
      <c r="BO74" s="111"/>
      <c r="BP74" s="111"/>
    </row>
    <row r="75" spans="2:68" s="82" customFormat="1" x14ac:dyDescent="0.3">
      <c r="B75" s="149"/>
      <c r="E75" s="111"/>
      <c r="F75" s="181"/>
      <c r="G75" s="82" t="s">
        <v>75</v>
      </c>
      <c r="H75" s="63">
        <f t="shared" ref="H75:P75" si="44">INDEX(rangeprovincez, 328+populationvaluea+behaviourvalueaz,H$112)</f>
        <v>685371</v>
      </c>
      <c r="I75" s="63">
        <f t="shared" si="44"/>
        <v>595408</v>
      </c>
      <c r="J75" s="63">
        <f t="shared" si="44"/>
        <v>611054</v>
      </c>
      <c r="K75" s="63">
        <f t="shared" si="44"/>
        <v>645075</v>
      </c>
      <c r="L75" s="63">
        <f t="shared" si="44"/>
        <v>697650</v>
      </c>
      <c r="M75" s="63">
        <f t="shared" si="44"/>
        <v>682549</v>
      </c>
      <c r="N75" s="63">
        <f t="shared" si="44"/>
        <v>658272</v>
      </c>
      <c r="O75" s="63">
        <f t="shared" si="44"/>
        <v>642047</v>
      </c>
      <c r="P75" s="63">
        <f t="shared" si="44"/>
        <v>586696</v>
      </c>
      <c r="R75" s="82" t="s">
        <v>75</v>
      </c>
      <c r="S75" s="88">
        <f t="shared" ref="S75:AA75" si="45">INDEX(rangeprovincez, 328+populationvaluea+behaviourvalueaz,AO$112)</f>
        <v>0.27618454292425476</v>
      </c>
      <c r="T75" s="88">
        <f t="shared" si="45"/>
        <v>0.22863286754908399</v>
      </c>
      <c r="U75" s="88">
        <f t="shared" si="45"/>
        <v>0.2274858262050192</v>
      </c>
      <c r="V75" s="88">
        <f t="shared" si="45"/>
        <v>0.22249596966956464</v>
      </c>
      <c r="W75" s="88">
        <f t="shared" si="45"/>
        <v>0.2292927437137175</v>
      </c>
      <c r="X75" s="88">
        <f t="shared" si="45"/>
        <v>0.21553121710029802</v>
      </c>
      <c r="Y75" s="88">
        <f t="shared" si="45"/>
        <v>0.19599128228947085</v>
      </c>
      <c r="Z75" s="88">
        <f t="shared" si="45"/>
        <v>0.18361706575669431</v>
      </c>
      <c r="AA75" s="88">
        <f t="shared" si="45"/>
        <v>0.16395071664305336</v>
      </c>
      <c r="AC75" s="111"/>
      <c r="AN75" s="111"/>
      <c r="AU75" s="82" t="s">
        <v>75</v>
      </c>
      <c r="AV75" s="283">
        <f t="shared" ref="AV75:BD75" si="46">INDEX(rangeprovincez, 328+populationvaluea+behaviourvalueaz,S$112)</f>
        <v>0.8</v>
      </c>
      <c r="AW75" s="283">
        <f t="shared" si="46"/>
        <v>0.8</v>
      </c>
      <c r="AX75" s="283">
        <f t="shared" si="46"/>
        <v>2.2000000000000002</v>
      </c>
      <c r="AY75" s="283">
        <f t="shared" si="46"/>
        <v>3</v>
      </c>
      <c r="AZ75" s="283">
        <f t="shared" si="46"/>
        <v>2.7</v>
      </c>
      <c r="BA75" s="283">
        <f t="shared" si="46"/>
        <v>3.7</v>
      </c>
      <c r="BB75" s="283">
        <f t="shared" si="46"/>
        <v>3.8</v>
      </c>
      <c r="BC75" s="283">
        <f t="shared" si="46"/>
        <v>1.2</v>
      </c>
      <c r="BD75" s="283">
        <f t="shared" si="46"/>
        <v>1.3</v>
      </c>
      <c r="BI75" s="111"/>
      <c r="BJ75" s="111"/>
      <c r="BK75" s="111"/>
      <c r="BL75" s="111"/>
      <c r="BM75" s="111"/>
      <c r="BN75" s="111"/>
      <c r="BO75" s="111"/>
      <c r="BP75" s="111"/>
    </row>
    <row r="76" spans="2:68" s="82" customFormat="1" x14ac:dyDescent="0.3">
      <c r="B76" s="149"/>
      <c r="E76" s="111"/>
      <c r="F76" s="181"/>
      <c r="G76" s="82" t="s">
        <v>76</v>
      </c>
      <c r="H76" s="63">
        <f t="shared" ref="H76:P76" si="47">INDEX(rangeprovincez, 369+populationvaluea+behaviourvalueaz,H$112)</f>
        <v>702795</v>
      </c>
      <c r="I76" s="63">
        <f t="shared" si="47"/>
        <v>660132</v>
      </c>
      <c r="J76" s="63">
        <f t="shared" si="47"/>
        <v>639350</v>
      </c>
      <c r="K76" s="63">
        <f t="shared" si="47"/>
        <v>683836</v>
      </c>
      <c r="L76" s="63">
        <f t="shared" si="47"/>
        <v>645856</v>
      </c>
      <c r="M76" s="63">
        <f t="shared" si="47"/>
        <v>593453</v>
      </c>
      <c r="N76" s="63">
        <f t="shared" si="47"/>
        <v>604491</v>
      </c>
      <c r="O76" s="63">
        <f t="shared" si="47"/>
        <v>568019</v>
      </c>
      <c r="P76" s="63">
        <f t="shared" si="47"/>
        <v>518964</v>
      </c>
      <c r="R76" s="82" t="s">
        <v>76</v>
      </c>
      <c r="S76" s="88">
        <f t="shared" ref="S76:AA76" si="48">INDEX(rangeprovincez, 369+populationvaluea+behaviourvalueaz,AO$112)</f>
        <v>0.20539525863240504</v>
      </c>
      <c r="T76" s="88">
        <f t="shared" si="48"/>
        <v>0.18743249520439118</v>
      </c>
      <c r="U76" s="88">
        <f t="shared" si="48"/>
        <v>0.17750142076096151</v>
      </c>
      <c r="V76" s="88">
        <f t="shared" si="48"/>
        <v>0.18190722262404513</v>
      </c>
      <c r="W76" s="88">
        <f t="shared" si="48"/>
        <v>0.16703624563630429</v>
      </c>
      <c r="X76" s="88">
        <f t="shared" si="48"/>
        <v>0.1507226625597097</v>
      </c>
      <c r="Y76" s="88">
        <f t="shared" si="48"/>
        <v>0.15193598737241082</v>
      </c>
      <c r="Z76" s="88">
        <f t="shared" si="48"/>
        <v>0.14127436155078246</v>
      </c>
      <c r="AA76" s="88">
        <f t="shared" si="48"/>
        <v>0.12567530948178224</v>
      </c>
      <c r="AC76" s="111"/>
      <c r="AN76" s="111"/>
      <c r="AU76" s="82" t="s">
        <v>76</v>
      </c>
      <c r="AV76" s="283">
        <f t="shared" ref="AV76:BD76" si="49">INDEX(rangeprovincez, 369+populationvaluea+behaviourvalueaz,S$112)</f>
        <v>2.4</v>
      </c>
      <c r="AW76" s="283">
        <f t="shared" si="49"/>
        <v>2.7</v>
      </c>
      <c r="AX76" s="283">
        <f t="shared" si="49"/>
        <v>2.6</v>
      </c>
      <c r="AY76" s="283">
        <f t="shared" si="49"/>
        <v>2.9</v>
      </c>
      <c r="AZ76" s="283">
        <f t="shared" si="49"/>
        <v>3.3</v>
      </c>
      <c r="BA76" s="283">
        <f t="shared" si="49"/>
        <v>3.7</v>
      </c>
      <c r="BB76" s="283">
        <f t="shared" si="49"/>
        <v>3</v>
      </c>
      <c r="BC76" s="283">
        <f t="shared" si="49"/>
        <v>3.5</v>
      </c>
      <c r="BD76" s="283">
        <f t="shared" si="49"/>
        <v>3.5</v>
      </c>
      <c r="BI76" s="111"/>
      <c r="BJ76" s="111"/>
      <c r="BK76" s="111"/>
      <c r="BL76" s="111"/>
      <c r="BM76" s="111"/>
      <c r="BN76" s="111"/>
      <c r="BO76" s="111"/>
      <c r="BP76" s="111"/>
    </row>
    <row r="77" spans="2:68" s="82" customFormat="1" x14ac:dyDescent="0.3">
      <c r="B77" s="149"/>
      <c r="E77" s="111"/>
      <c r="F77" s="181"/>
      <c r="G77" s="82" t="s">
        <v>110</v>
      </c>
      <c r="H77" s="63">
        <f t="shared" ref="H77:P77" si="50">INDEX(rangeprovincez, 410+populationvaluea+behaviourvalueaz,H$112)</f>
        <v>6677456</v>
      </c>
      <c r="I77" s="63">
        <f t="shared" si="50"/>
        <v>6081368</v>
      </c>
      <c r="J77" s="63">
        <f t="shared" si="50"/>
        <v>5874587</v>
      </c>
      <c r="K77" s="63">
        <f t="shared" si="50"/>
        <v>6063013</v>
      </c>
      <c r="L77" s="63">
        <f t="shared" si="50"/>
        <v>5846845</v>
      </c>
      <c r="M77" s="63">
        <f t="shared" si="50"/>
        <v>5847486</v>
      </c>
      <c r="N77" s="63">
        <f t="shared" si="50"/>
        <v>5567988</v>
      </c>
      <c r="O77" s="63">
        <f t="shared" si="50"/>
        <v>5285202</v>
      </c>
      <c r="P77" s="63">
        <f t="shared" si="50"/>
        <v>4999656</v>
      </c>
      <c r="R77" s="82" t="s">
        <v>110</v>
      </c>
      <c r="S77" s="88">
        <f t="shared" ref="S77:AA77" si="51">INDEX(rangeprovincez, 410+populationvaluea+behaviourvalueaz,AO$112)</f>
        <v>0.25965957481888652</v>
      </c>
      <c r="T77" s="88">
        <f t="shared" si="51"/>
        <v>0.23038189217741886</v>
      </c>
      <c r="U77" s="88">
        <f t="shared" si="51"/>
        <v>0.21776833558506176</v>
      </c>
      <c r="V77" s="88">
        <f t="shared" si="51"/>
        <v>0.21739221476511991</v>
      </c>
      <c r="W77" s="88">
        <f t="shared" si="51"/>
        <v>0.20453659287085546</v>
      </c>
      <c r="X77" s="88">
        <f t="shared" si="51"/>
        <v>0.20069696844057927</v>
      </c>
      <c r="Y77" s="88">
        <f t="shared" si="51"/>
        <v>0.18683899648317112</v>
      </c>
      <c r="Z77" s="88">
        <f t="shared" si="51"/>
        <v>0.17350977623740982</v>
      </c>
      <c r="AA77" s="88">
        <f t="shared" si="51"/>
        <v>0.16046540737588269</v>
      </c>
      <c r="AC77" s="111"/>
      <c r="AN77" s="111"/>
      <c r="AU77" s="82" t="s">
        <v>110</v>
      </c>
      <c r="AV77" s="283">
        <f t="shared" ref="AV77:BD77" si="52">INDEX(rangeprovincez, 410+populationvaluea+behaviourvalueaz,S$112)</f>
        <v>0.8</v>
      </c>
      <c r="AW77" s="283">
        <f t="shared" si="52"/>
        <v>0.8</v>
      </c>
      <c r="AX77" s="283">
        <f t="shared" si="52"/>
        <v>0.9</v>
      </c>
      <c r="AY77" s="283">
        <f t="shared" si="52"/>
        <v>0.9</v>
      </c>
      <c r="AZ77" s="283">
        <f t="shared" si="52"/>
        <v>1.1000000000000001</v>
      </c>
      <c r="BA77" s="283">
        <f t="shared" si="52"/>
        <v>1.2</v>
      </c>
      <c r="BB77" s="283">
        <f t="shared" si="52"/>
        <v>1.2</v>
      </c>
      <c r="BC77" s="283">
        <f t="shared" si="52"/>
        <v>1.2</v>
      </c>
      <c r="BD77" s="283">
        <f t="shared" si="52"/>
        <v>1.3</v>
      </c>
      <c r="BI77" s="111"/>
      <c r="BJ77" s="111"/>
      <c r="BK77" s="111"/>
      <c r="BL77" s="111"/>
      <c r="BM77" s="111"/>
      <c r="BN77" s="111"/>
      <c r="BO77" s="111"/>
      <c r="BP77" s="111"/>
    </row>
    <row r="78" spans="2:68" s="82" customFormat="1" x14ac:dyDescent="0.3">
      <c r="B78" s="149"/>
      <c r="E78" s="111"/>
      <c r="F78" s="181"/>
      <c r="G78" s="195"/>
      <c r="H78" s="119"/>
      <c r="I78" s="119"/>
      <c r="J78" s="119"/>
      <c r="K78" s="119"/>
      <c r="L78" s="119"/>
      <c r="M78" s="119"/>
      <c r="N78" s="119"/>
      <c r="O78" s="119"/>
      <c r="P78" s="119"/>
      <c r="R78" s="111"/>
      <c r="AC78" s="111"/>
      <c r="AN78" s="111"/>
      <c r="AX78" s="111"/>
      <c r="AY78" s="111"/>
      <c r="BI78" s="111"/>
      <c r="BJ78" s="111"/>
      <c r="BK78" s="111"/>
      <c r="BL78" s="111"/>
      <c r="BM78" s="111"/>
      <c r="BN78" s="111"/>
      <c r="BO78" s="111"/>
      <c r="BP78" s="111"/>
    </row>
    <row r="79" spans="2:68" s="82" customFormat="1" x14ac:dyDescent="0.3">
      <c r="B79" s="149"/>
      <c r="E79" s="111"/>
      <c r="F79" s="181"/>
      <c r="G79" s="195"/>
      <c r="H79" s="119"/>
      <c r="I79" s="119"/>
      <c r="J79" s="119"/>
      <c r="K79" s="119"/>
      <c r="L79" s="119"/>
      <c r="M79" s="119"/>
      <c r="N79" s="119"/>
      <c r="O79" s="119"/>
      <c r="P79" s="119"/>
      <c r="R79" s="111"/>
      <c r="AC79" s="111"/>
      <c r="AN79" s="111"/>
      <c r="AX79" s="111"/>
      <c r="AY79" s="111"/>
      <c r="BI79" s="111"/>
      <c r="BJ79" s="111"/>
      <c r="BK79" s="111"/>
      <c r="BL79" s="111"/>
      <c r="BM79" s="111"/>
      <c r="BN79" s="111"/>
      <c r="BO79" s="111"/>
      <c r="BP79" s="111"/>
    </row>
    <row r="80" spans="2:68" s="82" customFormat="1" x14ac:dyDescent="0.3">
      <c r="B80" s="149"/>
      <c r="E80" s="111"/>
      <c r="F80" s="181"/>
      <c r="H80" s="82" t="s">
        <v>14</v>
      </c>
      <c r="R80" s="82" t="s">
        <v>14</v>
      </c>
      <c r="AC80" s="111"/>
      <c r="AN80" s="111"/>
      <c r="AX80" s="111"/>
      <c r="AY80" s="111"/>
      <c r="BI80" s="111"/>
      <c r="BJ80" s="111"/>
      <c r="BK80" s="111"/>
      <c r="BL80" s="111"/>
      <c r="BM80" s="111"/>
      <c r="BN80" s="111"/>
      <c r="BO80" s="111"/>
      <c r="BP80" s="111"/>
    </row>
    <row r="81" spans="2:68" s="82" customFormat="1" x14ac:dyDescent="0.3">
      <c r="B81" s="149"/>
      <c r="E81" s="111"/>
      <c r="F81" s="181"/>
      <c r="G81" s="195"/>
      <c r="H81" s="121">
        <v>2001</v>
      </c>
      <c r="I81" s="121">
        <v>2003</v>
      </c>
      <c r="J81" s="121">
        <v>2005</v>
      </c>
      <c r="K81" s="122" t="s">
        <v>123</v>
      </c>
      <c r="L81" s="122" t="s">
        <v>124</v>
      </c>
      <c r="M81" s="122" t="s">
        <v>125</v>
      </c>
      <c r="N81" s="122" t="s">
        <v>126</v>
      </c>
      <c r="O81" s="122" t="s">
        <v>127</v>
      </c>
      <c r="P81" s="122" t="s">
        <v>128</v>
      </c>
      <c r="R81" s="195"/>
      <c r="S81" s="121">
        <v>2001</v>
      </c>
      <c r="T81" s="121">
        <v>2003</v>
      </c>
      <c r="U81" s="121">
        <v>2005</v>
      </c>
      <c r="V81" s="122" t="s">
        <v>123</v>
      </c>
      <c r="W81" s="122" t="s">
        <v>124</v>
      </c>
      <c r="X81" s="122" t="s">
        <v>125</v>
      </c>
      <c r="Y81" s="122" t="s">
        <v>126</v>
      </c>
      <c r="Z81" s="122" t="s">
        <v>127</v>
      </c>
      <c r="AA81" s="122" t="s">
        <v>128</v>
      </c>
      <c r="AC81" s="111"/>
      <c r="AN81" s="111"/>
      <c r="AX81" s="111"/>
      <c r="AY81" s="111"/>
      <c r="BI81" s="111"/>
      <c r="BJ81" s="111"/>
      <c r="BK81" s="111"/>
      <c r="BL81" s="111"/>
      <c r="BM81" s="111"/>
      <c r="BN81" s="111"/>
      <c r="BO81" s="111"/>
      <c r="BP81" s="111"/>
    </row>
    <row r="82" spans="2:68" s="82" customFormat="1" x14ac:dyDescent="0.3">
      <c r="B82" s="149"/>
      <c r="E82" s="111"/>
      <c r="F82" s="181"/>
      <c r="G82" s="82" t="s">
        <v>58</v>
      </c>
      <c r="H82" s="63">
        <f t="shared" ref="H82:P82" si="53">INDEX(rangeprovincez, populationvaluea+behaviourvalueaz,AD$112)</f>
        <v>8826.51</v>
      </c>
      <c r="I82" s="63">
        <f t="shared" si="53"/>
        <v>9286.9560000000001</v>
      </c>
      <c r="J82" s="63">
        <f t="shared" si="53"/>
        <v>8292.9599999999991</v>
      </c>
      <c r="K82" s="63">
        <f t="shared" si="53"/>
        <v>8371.4</v>
      </c>
      <c r="L82" s="63">
        <f t="shared" si="53"/>
        <v>8427.8779999999988</v>
      </c>
      <c r="M82" s="63">
        <f t="shared" si="53"/>
        <v>9276.66</v>
      </c>
      <c r="N82" s="63">
        <f t="shared" si="53"/>
        <v>8652.7839999999997</v>
      </c>
      <c r="O82" s="63">
        <f t="shared" si="53"/>
        <v>9512.64</v>
      </c>
      <c r="P82" s="63">
        <f t="shared" si="53"/>
        <v>9182.2079999999987</v>
      </c>
      <c r="R82" s="82" t="s">
        <v>58</v>
      </c>
      <c r="S82" s="88">
        <f t="shared" ref="S82:AA82" si="54">INDEX(rangeprovincez, populationvaluea+behaviourvalueaz,AZ$112)</f>
        <v>1.9142207147225559E-2</v>
      </c>
      <c r="T82" s="88">
        <f t="shared" si="54"/>
        <v>2.0183330797818009E-2</v>
      </c>
      <c r="U82" s="88">
        <f t="shared" si="54"/>
        <v>1.8477580813347237E-2</v>
      </c>
      <c r="V82" s="88">
        <f t="shared" si="54"/>
        <v>1.8910212969739684E-2</v>
      </c>
      <c r="W82" s="88">
        <f t="shared" si="54"/>
        <v>1.8924167508701021E-2</v>
      </c>
      <c r="X82" s="88">
        <f t="shared" si="54"/>
        <v>2.0869829314219768E-2</v>
      </c>
      <c r="Y82" s="88">
        <f t="shared" si="54"/>
        <v>1.9122893014765194E-2</v>
      </c>
      <c r="Z82" s="88">
        <f t="shared" si="54"/>
        <v>2.077952943386582E-2</v>
      </c>
      <c r="AA82" s="88">
        <f t="shared" si="54"/>
        <v>1.9988610537864736E-2</v>
      </c>
      <c r="AC82" s="111"/>
      <c r="AN82" s="111"/>
      <c r="AX82" s="111"/>
      <c r="AY82" s="111"/>
      <c r="BI82" s="111"/>
      <c r="BJ82" s="111"/>
      <c r="BK82" s="111"/>
      <c r="BL82" s="111"/>
      <c r="BM82" s="111"/>
      <c r="BN82" s="111"/>
      <c r="BO82" s="111"/>
      <c r="BP82" s="111"/>
    </row>
    <row r="83" spans="2:68" s="82" customFormat="1" x14ac:dyDescent="0.3">
      <c r="B83" s="149"/>
      <c r="E83" s="111"/>
      <c r="F83" s="181"/>
      <c r="G83" s="82" t="s">
        <v>68</v>
      </c>
      <c r="H83" s="63">
        <f t="shared" ref="H83:P83" si="55">INDEX(rangeprovincez, 41 + populationvaluea+behaviourvalueaz,AD$112)</f>
        <v>2528.058</v>
      </c>
      <c r="I83" s="63">
        <f t="shared" si="55"/>
        <v>3158.0639999999999</v>
      </c>
      <c r="J83" s="63">
        <f t="shared" si="55"/>
        <v>2967.5340000000001</v>
      </c>
      <c r="K83" s="63">
        <f t="shared" si="55"/>
        <v>2583.4559999999997</v>
      </c>
      <c r="L83" s="63">
        <f t="shared" si="55"/>
        <v>3089.3119999999999</v>
      </c>
      <c r="M83" s="63">
        <f t="shared" si="55"/>
        <v>3536.4119999999994</v>
      </c>
      <c r="N83" s="63">
        <f t="shared" si="55"/>
        <v>3021.26</v>
      </c>
      <c r="O83" s="63">
        <f t="shared" si="55"/>
        <v>2694.0239999999994</v>
      </c>
      <c r="P83" s="63">
        <f t="shared" si="55"/>
        <v>2761.1639999999998</v>
      </c>
      <c r="R83" s="82" t="s">
        <v>68</v>
      </c>
      <c r="S83" s="88">
        <f t="shared" ref="S83:AA83" si="56">INDEX(rangeprovincez, 41 + populationvaluea+behaviourvalueaz,AZ$112)</f>
        <v>2.1732340729151443E-2</v>
      </c>
      <c r="T83" s="88">
        <f t="shared" si="56"/>
        <v>2.644745370951938E-2</v>
      </c>
      <c r="U83" s="88">
        <f t="shared" si="56"/>
        <v>2.5260553129548766E-2</v>
      </c>
      <c r="V83" s="88">
        <f t="shared" si="56"/>
        <v>2.1642241415419153E-2</v>
      </c>
      <c r="W83" s="88">
        <f t="shared" si="56"/>
        <v>2.5341547245031047E-2</v>
      </c>
      <c r="X83" s="88">
        <f t="shared" si="56"/>
        <v>2.8285865113898127E-2</v>
      </c>
      <c r="Y83" s="88">
        <f t="shared" si="56"/>
        <v>2.4055958532720773E-2</v>
      </c>
      <c r="Z83" s="88">
        <f t="shared" si="56"/>
        <v>2.1449406444318822E-2</v>
      </c>
      <c r="AA83" s="88">
        <f t="shared" si="56"/>
        <v>2.142962250093133E-2</v>
      </c>
      <c r="AC83" s="111"/>
      <c r="AN83" s="111"/>
      <c r="AX83" s="111"/>
      <c r="AY83" s="111"/>
      <c r="BI83" s="111"/>
      <c r="BJ83" s="111"/>
      <c r="BK83" s="111"/>
      <c r="BL83" s="111"/>
      <c r="BM83" s="111"/>
      <c r="BN83" s="111"/>
      <c r="BO83" s="111"/>
      <c r="BP83" s="111"/>
    </row>
    <row r="84" spans="2:68" s="82" customFormat="1" x14ac:dyDescent="0.3">
      <c r="B84" s="149"/>
      <c r="E84" s="111"/>
      <c r="F84" s="181"/>
      <c r="G84" s="82" t="s">
        <v>69</v>
      </c>
      <c r="H84" s="63">
        <f t="shared" ref="H84:P84" si="57">INDEX(rangeprovincez, 82 + populationvaluea+behaviourvalueaz,AD$112)</f>
        <v>12893.341999999999</v>
      </c>
      <c r="I84" s="63">
        <f t="shared" si="57"/>
        <v>16509.680000000004</v>
      </c>
      <c r="J84" s="63">
        <f t="shared" si="57"/>
        <v>14414.16</v>
      </c>
      <c r="K84" s="63">
        <f t="shared" si="57"/>
        <v>14555.823999999999</v>
      </c>
      <c r="L84" s="63">
        <f t="shared" si="57"/>
        <v>15681.371999999999</v>
      </c>
      <c r="M84" s="63">
        <f t="shared" si="57"/>
        <v>14351.921999999999</v>
      </c>
      <c r="N84" s="63">
        <f t="shared" si="57"/>
        <v>12617.424000000001</v>
      </c>
      <c r="O84" s="63">
        <f t="shared" si="57"/>
        <v>13419.784</v>
      </c>
      <c r="P84" s="63">
        <f t="shared" si="57"/>
        <v>13437.06</v>
      </c>
      <c r="R84" s="82" t="s">
        <v>69</v>
      </c>
      <c r="S84" s="88">
        <f t="shared" ref="S84:AA84" si="58">INDEX(rangeprovincez, 82 + populationvaluea+behaviourvalueaz,AZ$112)</f>
        <v>1.6362711318056122E-2</v>
      </c>
      <c r="T84" s="88">
        <f t="shared" si="58"/>
        <v>2.0699197592778336E-2</v>
      </c>
      <c r="U84" s="88">
        <f t="shared" si="58"/>
        <v>1.8108582448161711E-2</v>
      </c>
      <c r="V84" s="88">
        <f t="shared" si="58"/>
        <v>1.8218714836616603E-2</v>
      </c>
      <c r="W84" s="88">
        <f t="shared" si="58"/>
        <v>1.9457293240919278E-2</v>
      </c>
      <c r="X84" s="88">
        <f t="shared" si="58"/>
        <v>1.7739907220967615E-2</v>
      </c>
      <c r="Y84" s="88">
        <f t="shared" si="58"/>
        <v>1.5576432071285985E-2</v>
      </c>
      <c r="Z84" s="88">
        <f t="shared" si="58"/>
        <v>1.6568289117594767E-2</v>
      </c>
      <c r="AA84" s="88">
        <f t="shared" si="58"/>
        <v>1.6457627035607204E-2</v>
      </c>
      <c r="AC84" s="111"/>
      <c r="AN84" s="111"/>
      <c r="AX84" s="111"/>
      <c r="AY84" s="111"/>
      <c r="BI84" s="111"/>
      <c r="BJ84" s="111"/>
      <c r="BK84" s="111"/>
      <c r="BL84" s="111"/>
      <c r="BM84" s="111"/>
      <c r="BN84" s="111"/>
      <c r="BO84" s="111"/>
      <c r="BP84" s="111"/>
    </row>
    <row r="85" spans="2:68" s="82" customFormat="1" x14ac:dyDescent="0.3">
      <c r="B85" s="149"/>
      <c r="E85" s="111"/>
      <c r="F85" s="181"/>
      <c r="G85" s="82" t="s">
        <v>70</v>
      </c>
      <c r="H85" s="63">
        <f t="shared" ref="H85:P85" si="59">INDEX(rangeprovincez, 123 + populationvaluea+behaviourvalueaz,AD$112)</f>
        <v>10381.032000000001</v>
      </c>
      <c r="I85" s="63">
        <f t="shared" si="59"/>
        <v>9043.7199999999993</v>
      </c>
      <c r="J85" s="63">
        <f t="shared" si="59"/>
        <v>10909.268</v>
      </c>
      <c r="K85" s="63">
        <f t="shared" si="59"/>
        <v>10476.76</v>
      </c>
      <c r="L85" s="63">
        <f t="shared" si="59"/>
        <v>9959.32</v>
      </c>
      <c r="M85" s="63">
        <f t="shared" si="59"/>
        <v>11070.92</v>
      </c>
      <c r="N85" s="63">
        <f t="shared" si="59"/>
        <v>9826.6320000000014</v>
      </c>
      <c r="O85" s="63">
        <f t="shared" si="59"/>
        <v>12893.87</v>
      </c>
      <c r="P85" s="63">
        <f t="shared" si="59"/>
        <v>10580.681999999999</v>
      </c>
      <c r="R85" s="82" t="s">
        <v>70</v>
      </c>
      <c r="S85" s="88">
        <f t="shared" ref="S85:AA85" si="60">INDEX(rangeprovincez, 123 + populationvaluea+behaviourvalueaz,AZ$112)</f>
        <v>1.6367078010226042E-2</v>
      </c>
      <c r="T85" s="88">
        <f t="shared" si="60"/>
        <v>1.4162545453406538E-2</v>
      </c>
      <c r="U85" s="88">
        <f t="shared" si="60"/>
        <v>1.7093004089434843E-2</v>
      </c>
      <c r="V85" s="88">
        <f t="shared" si="60"/>
        <v>1.632450945104327E-2</v>
      </c>
      <c r="W85" s="88">
        <f t="shared" si="60"/>
        <v>1.546571919728058E-2</v>
      </c>
      <c r="X85" s="88">
        <f t="shared" si="60"/>
        <v>1.7196183292663415E-2</v>
      </c>
      <c r="Y85" s="88">
        <f t="shared" si="60"/>
        <v>1.5262679510557068E-2</v>
      </c>
      <c r="Z85" s="88">
        <f t="shared" si="60"/>
        <v>2.0053173951451359E-2</v>
      </c>
      <c r="AA85" s="88">
        <f t="shared" si="60"/>
        <v>1.6410569710956838E-2</v>
      </c>
      <c r="AC85" s="111"/>
      <c r="AN85" s="111"/>
      <c r="AX85" s="111"/>
      <c r="AY85" s="111"/>
      <c r="BI85" s="111"/>
      <c r="BJ85" s="111"/>
      <c r="BK85" s="111"/>
      <c r="BL85" s="111"/>
      <c r="BM85" s="111"/>
      <c r="BN85" s="111"/>
      <c r="BO85" s="111"/>
      <c r="BP85" s="111"/>
    </row>
    <row r="86" spans="2:68" s="82" customFormat="1" x14ac:dyDescent="0.3">
      <c r="B86" s="149"/>
      <c r="E86" s="111"/>
      <c r="F86" s="181"/>
      <c r="G86" s="82" t="s">
        <v>71</v>
      </c>
      <c r="H86" s="63">
        <f t="shared" ref="H86:P86" si="61">INDEX(rangeprovincez, 164+populationvaluea+behaviourvalueaz,AD$112)</f>
        <v>62249.41</v>
      </c>
      <c r="I86" s="63">
        <f t="shared" si="61"/>
        <v>59016.347999999998</v>
      </c>
      <c r="J86" s="63">
        <f t="shared" si="61"/>
        <v>56749.896000000008</v>
      </c>
      <c r="K86" s="63">
        <f t="shared" si="61"/>
        <v>47827.71</v>
      </c>
      <c r="L86" s="63">
        <f t="shared" si="61"/>
        <v>52091.025999999998</v>
      </c>
      <c r="M86" s="63">
        <f t="shared" si="61"/>
        <v>63996.407999999996</v>
      </c>
      <c r="N86" s="63">
        <f t="shared" si="61"/>
        <v>59726.351999999999</v>
      </c>
      <c r="O86" s="63">
        <f t="shared" si="61"/>
        <v>67374.47600000001</v>
      </c>
      <c r="P86" s="63">
        <f t="shared" si="61"/>
        <v>63980.35</v>
      </c>
      <c r="R86" s="82" t="s">
        <v>71</v>
      </c>
      <c r="S86" s="88">
        <f t="shared" ref="S86:AA86" si="62">INDEX(rangeprovincez, 164+populationvaluea+behaviourvalueaz,AZ$112)</f>
        <v>1.0013217572470645E-2</v>
      </c>
      <c r="T86" s="88">
        <f t="shared" si="62"/>
        <v>9.2970433194672457E-3</v>
      </c>
      <c r="U86" s="88">
        <f t="shared" si="62"/>
        <v>8.7744689851716601E-3</v>
      </c>
      <c r="V86" s="88">
        <f t="shared" si="62"/>
        <v>7.2486655330138497E-3</v>
      </c>
      <c r="W86" s="88">
        <f t="shared" si="62"/>
        <v>7.7598937441353179E-3</v>
      </c>
      <c r="X86" s="88">
        <f t="shared" si="62"/>
        <v>9.3722863511348439E-3</v>
      </c>
      <c r="Y86" s="88">
        <f t="shared" si="62"/>
        <v>8.5755678878850824E-3</v>
      </c>
      <c r="Z86" s="88">
        <f t="shared" si="62"/>
        <v>9.5464641180514672E-3</v>
      </c>
      <c r="AA86" s="88">
        <f t="shared" si="62"/>
        <v>8.9378827531657497E-3</v>
      </c>
      <c r="AC86" s="111"/>
      <c r="AN86" s="111"/>
      <c r="AX86" s="111"/>
      <c r="AY86" s="111"/>
      <c r="BI86" s="111"/>
      <c r="BJ86" s="111"/>
      <c r="BK86" s="111"/>
      <c r="BL86" s="111"/>
      <c r="BM86" s="111"/>
      <c r="BN86" s="111"/>
      <c r="BO86" s="111"/>
      <c r="BP86" s="111"/>
    </row>
    <row r="87" spans="2:68" s="82" customFormat="1" x14ac:dyDescent="0.3">
      <c r="B87" s="149"/>
      <c r="E87" s="111"/>
      <c r="F87" s="181"/>
      <c r="G87" s="82" t="s">
        <v>72</v>
      </c>
      <c r="H87" s="63">
        <f t="shared" ref="H87:P87" si="63">INDEX(rangeprovincez, 205+populationvaluea+behaviourvalueaz,AD$112)</f>
        <v>72559.199999999997</v>
      </c>
      <c r="I87" s="63">
        <f t="shared" si="63"/>
        <v>68183.55</v>
      </c>
      <c r="J87" s="63">
        <f t="shared" si="63"/>
        <v>65616.45</v>
      </c>
      <c r="K87" s="63">
        <f t="shared" si="63"/>
        <v>70688.703999999998</v>
      </c>
      <c r="L87" s="63">
        <f t="shared" si="63"/>
        <v>54821.597999999998</v>
      </c>
      <c r="M87" s="63">
        <f t="shared" si="63"/>
        <v>65224.74</v>
      </c>
      <c r="N87" s="63">
        <f t="shared" si="63"/>
        <v>65537.600000000006</v>
      </c>
      <c r="O87" s="63">
        <f t="shared" si="63"/>
        <v>102943.1</v>
      </c>
      <c r="P87" s="63">
        <f t="shared" si="63"/>
        <v>96819.164000000004</v>
      </c>
      <c r="R87" s="82" t="s">
        <v>72</v>
      </c>
      <c r="S87" s="88">
        <f t="shared" ref="S87:AA87" si="64">INDEX(rangeprovincez, 205+populationvaluea+behaviourvalueaz,AZ$112)</f>
        <v>7.3460613145727273E-3</v>
      </c>
      <c r="T87" s="88">
        <f t="shared" si="64"/>
        <v>6.633455391119026E-3</v>
      </c>
      <c r="U87" s="88">
        <f t="shared" si="64"/>
        <v>6.2077557436673115E-3</v>
      </c>
      <c r="V87" s="88">
        <f t="shared" si="64"/>
        <v>6.4643738706113884E-3</v>
      </c>
      <c r="W87" s="88">
        <f t="shared" si="64"/>
        <v>4.8915780581019024E-3</v>
      </c>
      <c r="X87" s="88">
        <f t="shared" si="64"/>
        <v>5.6948022596995593E-3</v>
      </c>
      <c r="Y87" s="88">
        <f t="shared" si="64"/>
        <v>5.610080984493131E-3</v>
      </c>
      <c r="Z87" s="88">
        <f t="shared" si="64"/>
        <v>8.7054128464650396E-3</v>
      </c>
      <c r="AA87" s="88">
        <f t="shared" si="64"/>
        <v>7.9531935485752346E-3</v>
      </c>
      <c r="AC87" s="111"/>
      <c r="AN87" s="111"/>
      <c r="AX87" s="111"/>
      <c r="AY87" s="111"/>
      <c r="BI87" s="111"/>
      <c r="BJ87" s="111"/>
      <c r="BK87" s="111"/>
      <c r="BL87" s="111"/>
      <c r="BM87" s="111"/>
      <c r="BN87" s="111"/>
      <c r="BO87" s="111"/>
      <c r="BP87" s="111"/>
    </row>
    <row r="88" spans="2:68" s="82" customFormat="1" x14ac:dyDescent="0.3">
      <c r="B88" s="149"/>
      <c r="E88" s="111"/>
      <c r="F88" s="181"/>
      <c r="G88" s="82" t="s">
        <v>73</v>
      </c>
      <c r="H88" s="63">
        <f t="shared" ref="H88:P88" si="65">INDEX(rangeprovincez, 246+populationvaluea+behaviourvalueaz,AD$112)</f>
        <v>14070.962</v>
      </c>
      <c r="I88" s="63">
        <f t="shared" si="65"/>
        <v>15759.892</v>
      </c>
      <c r="J88" s="63">
        <f t="shared" si="65"/>
        <v>16024.008</v>
      </c>
      <c r="K88" s="63">
        <f t="shared" si="65"/>
        <v>15915.312</v>
      </c>
      <c r="L88" s="63">
        <f t="shared" si="65"/>
        <v>19064.900000000001</v>
      </c>
      <c r="M88" s="63">
        <f t="shared" si="65"/>
        <v>20366.237999999998</v>
      </c>
      <c r="N88" s="63">
        <f t="shared" si="65"/>
        <v>13360.921999999999</v>
      </c>
      <c r="O88" s="63">
        <f t="shared" si="65"/>
        <v>19355.099999999999</v>
      </c>
      <c r="P88" s="63">
        <f t="shared" si="65"/>
        <v>18298.488000000001</v>
      </c>
      <c r="R88" s="82" t="s">
        <v>73</v>
      </c>
      <c r="S88" s="88">
        <f t="shared" ref="S88:AA88" si="66">INDEX(rangeprovincez, 246+populationvaluea+behaviourvalueaz,AZ$112)</f>
        <v>1.5505294800847169E-2</v>
      </c>
      <c r="T88" s="88">
        <f t="shared" si="66"/>
        <v>1.7221892935041547E-2</v>
      </c>
      <c r="U88" s="88">
        <f t="shared" si="66"/>
        <v>1.7131746744499327E-2</v>
      </c>
      <c r="V88" s="88">
        <f t="shared" si="66"/>
        <v>1.675306580883669E-2</v>
      </c>
      <c r="W88" s="88">
        <f t="shared" si="66"/>
        <v>1.9522627524949977E-2</v>
      </c>
      <c r="X88" s="88">
        <f t="shared" si="66"/>
        <v>2.0323619370180727E-2</v>
      </c>
      <c r="Y88" s="88">
        <f t="shared" si="66"/>
        <v>1.3116959667150666E-2</v>
      </c>
      <c r="Z88" s="88">
        <f t="shared" si="66"/>
        <v>1.8758050025731009E-2</v>
      </c>
      <c r="AA88" s="88">
        <f t="shared" si="66"/>
        <v>1.7318568743363034E-2</v>
      </c>
      <c r="AC88" s="111"/>
      <c r="AN88" s="111"/>
      <c r="AX88" s="111"/>
      <c r="AY88" s="111"/>
      <c r="BI88" s="111"/>
      <c r="BJ88" s="111"/>
      <c r="BK88" s="111"/>
      <c r="BL88" s="111"/>
      <c r="BM88" s="111"/>
      <c r="BN88" s="111"/>
      <c r="BO88" s="111"/>
      <c r="BP88" s="111"/>
    </row>
    <row r="89" spans="2:68" s="82" customFormat="1" x14ac:dyDescent="0.3">
      <c r="B89" s="149"/>
      <c r="E89" s="111"/>
      <c r="F89" s="181"/>
      <c r="G89" s="82" t="s">
        <v>74</v>
      </c>
      <c r="H89" s="63">
        <f t="shared" ref="H89:P89" si="67">INDEX(rangeprovincez, 287+populationvaluea+behaviourvalueaz,AD$112)</f>
        <v>11571.871999999999</v>
      </c>
      <c r="I89" s="63">
        <f t="shared" si="67"/>
        <v>13344.24</v>
      </c>
      <c r="J89" s="63">
        <f t="shared" si="67"/>
        <v>10138.986000000001</v>
      </c>
      <c r="K89" s="63">
        <f t="shared" si="67"/>
        <v>10592.088</v>
      </c>
      <c r="L89" s="63">
        <f t="shared" si="67"/>
        <v>14181.335999999999</v>
      </c>
      <c r="M89" s="63">
        <f t="shared" si="67"/>
        <v>11366.77</v>
      </c>
      <c r="N89" s="63">
        <f t="shared" si="67"/>
        <v>13210.54</v>
      </c>
      <c r="O89" s="63">
        <f t="shared" si="67"/>
        <v>16753.62</v>
      </c>
      <c r="P89" s="63">
        <f t="shared" si="67"/>
        <v>17952.620000000003</v>
      </c>
      <c r="R89" s="82" t="s">
        <v>74</v>
      </c>
      <c r="S89" s="88">
        <f t="shared" ref="S89:AA89" si="68">INDEX(rangeprovincez, 287+populationvaluea+behaviourvalueaz,AZ$112)</f>
        <v>1.4357268168249393E-2</v>
      </c>
      <c r="T89" s="88">
        <f t="shared" si="68"/>
        <v>1.6682155889842745E-2</v>
      </c>
      <c r="U89" s="88">
        <f t="shared" si="68"/>
        <v>1.2870588145688304E-2</v>
      </c>
      <c r="V89" s="88">
        <f t="shared" si="68"/>
        <v>1.3303200428029934E-2</v>
      </c>
      <c r="W89" s="88">
        <f t="shared" si="68"/>
        <v>1.7249715370018976E-2</v>
      </c>
      <c r="X89" s="88">
        <f t="shared" si="68"/>
        <v>1.3495255135174926E-2</v>
      </c>
      <c r="Y89" s="88">
        <f t="shared" si="68"/>
        <v>1.5088396572184349E-2</v>
      </c>
      <c r="Z89" s="88">
        <f t="shared" si="68"/>
        <v>1.865135841612376E-2</v>
      </c>
      <c r="AA89" s="88">
        <f t="shared" si="68"/>
        <v>1.9624231678616207E-2</v>
      </c>
      <c r="AC89" s="111"/>
      <c r="AN89" s="111"/>
      <c r="AX89" s="111"/>
      <c r="AY89" s="111"/>
      <c r="BI89" s="111"/>
      <c r="BJ89" s="111"/>
      <c r="BK89" s="111"/>
      <c r="BL89" s="111"/>
      <c r="BM89" s="111"/>
      <c r="BN89" s="111"/>
      <c r="BO89" s="111"/>
      <c r="BP89" s="111"/>
    </row>
    <row r="90" spans="2:68" s="82" customFormat="1" x14ac:dyDescent="0.3">
      <c r="B90" s="149"/>
      <c r="E90" s="111"/>
      <c r="F90" s="181"/>
      <c r="G90" s="82" t="s">
        <v>75</v>
      </c>
      <c r="H90" s="63">
        <f t="shared" ref="H90:P90" si="69">INDEX(rangeprovincez, 328+populationvaluea+behaviourvalueaz,AD$112)</f>
        <v>10965.936000000002</v>
      </c>
      <c r="I90" s="63">
        <f t="shared" si="69"/>
        <v>9526.5280000000002</v>
      </c>
      <c r="J90" s="63">
        <f t="shared" si="69"/>
        <v>26886.376</v>
      </c>
      <c r="K90" s="63">
        <f t="shared" si="69"/>
        <v>38704.5</v>
      </c>
      <c r="L90" s="63">
        <f t="shared" si="69"/>
        <v>37673.100000000006</v>
      </c>
      <c r="M90" s="63">
        <f t="shared" si="69"/>
        <v>50508.626000000004</v>
      </c>
      <c r="N90" s="63">
        <f t="shared" si="69"/>
        <v>50028.671999999999</v>
      </c>
      <c r="O90" s="63">
        <f t="shared" si="69"/>
        <v>15409.128000000001</v>
      </c>
      <c r="P90" s="63">
        <f t="shared" si="69"/>
        <v>15254.096000000001</v>
      </c>
      <c r="R90" s="82" t="s">
        <v>75</v>
      </c>
      <c r="S90" s="88">
        <f t="shared" ref="S90:AA90" si="70">INDEX(rangeprovincez, 328+populationvaluea+behaviourvalueaz,AZ$112)</f>
        <v>4.4189526867880764E-3</v>
      </c>
      <c r="T90" s="88">
        <f t="shared" si="70"/>
        <v>3.6581258807853439E-3</v>
      </c>
      <c r="U90" s="88">
        <f t="shared" si="70"/>
        <v>1.0009376353020844E-2</v>
      </c>
      <c r="V90" s="88">
        <f t="shared" si="70"/>
        <v>1.3349758180173879E-2</v>
      </c>
      <c r="W90" s="88">
        <f t="shared" si="70"/>
        <v>1.2381808160540747E-2</v>
      </c>
      <c r="X90" s="88">
        <f t="shared" si="70"/>
        <v>1.5949310065422054E-2</v>
      </c>
      <c r="Y90" s="88">
        <f t="shared" si="70"/>
        <v>1.4895337453999784E-2</v>
      </c>
      <c r="Z90" s="88">
        <f t="shared" si="70"/>
        <v>4.4068095781606637E-3</v>
      </c>
      <c r="AA90" s="88">
        <f t="shared" si="70"/>
        <v>4.2627186327193868E-3</v>
      </c>
      <c r="AC90" s="111"/>
      <c r="AN90" s="111"/>
      <c r="AX90" s="111"/>
      <c r="AY90" s="111"/>
      <c r="BI90" s="111"/>
      <c r="BJ90" s="111"/>
      <c r="BK90" s="111"/>
      <c r="BL90" s="111"/>
      <c r="BM90" s="111"/>
      <c r="BN90" s="111"/>
      <c r="BO90" s="111"/>
      <c r="BP90" s="111"/>
    </row>
    <row r="91" spans="2:68" s="82" customFormat="1" x14ac:dyDescent="0.3">
      <c r="B91" s="149"/>
      <c r="E91" s="111"/>
      <c r="F91" s="181"/>
      <c r="G91" s="82" t="s">
        <v>76</v>
      </c>
      <c r="H91" s="63">
        <f t="shared" ref="H91:P91" si="71">INDEX(rangeprovincez, 369+populationvaluea+behaviourvalueaz,AD$112)</f>
        <v>33734.160000000003</v>
      </c>
      <c r="I91" s="63">
        <f t="shared" si="71"/>
        <v>35647.128000000004</v>
      </c>
      <c r="J91" s="63">
        <f t="shared" si="71"/>
        <v>33246.199999999997</v>
      </c>
      <c r="K91" s="63">
        <f t="shared" si="71"/>
        <v>39662.487999999998</v>
      </c>
      <c r="L91" s="63">
        <f t="shared" si="71"/>
        <v>42626.495999999999</v>
      </c>
      <c r="M91" s="63">
        <f t="shared" si="71"/>
        <v>43915.522000000004</v>
      </c>
      <c r="N91" s="63">
        <f t="shared" si="71"/>
        <v>36269.46</v>
      </c>
      <c r="O91" s="63">
        <f t="shared" si="71"/>
        <v>39761.33</v>
      </c>
      <c r="P91" s="63">
        <f t="shared" si="71"/>
        <v>36327.480000000003</v>
      </c>
      <c r="R91" s="82" t="s">
        <v>76</v>
      </c>
      <c r="S91" s="88">
        <f t="shared" ref="S91:AA91" si="72">INDEX(rangeprovincez, 369+populationvaluea+behaviourvalueaz,AZ$112)</f>
        <v>9.8589724143554412E-3</v>
      </c>
      <c r="T91" s="88">
        <f t="shared" si="72"/>
        <v>1.0121354741037125E-2</v>
      </c>
      <c r="U91" s="88">
        <f t="shared" si="72"/>
        <v>9.2300738795699985E-3</v>
      </c>
      <c r="V91" s="88">
        <f t="shared" si="72"/>
        <v>1.0550618912194618E-2</v>
      </c>
      <c r="W91" s="88">
        <f t="shared" si="72"/>
        <v>1.1024392211996081E-2</v>
      </c>
      <c r="X91" s="88">
        <f t="shared" si="72"/>
        <v>1.115347702941852E-2</v>
      </c>
      <c r="Y91" s="88">
        <f t="shared" si="72"/>
        <v>9.11615924234465E-3</v>
      </c>
      <c r="Z91" s="88">
        <f t="shared" si="72"/>
        <v>9.8892053085547719E-3</v>
      </c>
      <c r="AA91" s="88">
        <f t="shared" si="72"/>
        <v>8.7972716637247581E-3</v>
      </c>
      <c r="AC91" s="111"/>
      <c r="AN91" s="111"/>
      <c r="AX91" s="111"/>
      <c r="AY91" s="111"/>
      <c r="BI91" s="111"/>
      <c r="BJ91" s="111"/>
      <c r="BK91" s="111"/>
      <c r="BL91" s="111"/>
      <c r="BM91" s="111"/>
      <c r="BN91" s="111"/>
      <c r="BO91" s="111"/>
      <c r="BP91" s="111"/>
    </row>
    <row r="92" spans="2:68" s="82" customFormat="1" x14ac:dyDescent="0.3">
      <c r="B92" s="149"/>
      <c r="E92" s="111"/>
      <c r="F92" s="181"/>
      <c r="G92" s="82" t="s">
        <v>110</v>
      </c>
      <c r="H92" s="63">
        <f t="shared" ref="H92:P92" si="73">INDEX(rangeprovincez, 410+populationvaluea+behaviourvalueaz,AD$112)</f>
        <v>106839.29600000002</v>
      </c>
      <c r="I92" s="63">
        <f t="shared" si="73"/>
        <v>97301.888000000006</v>
      </c>
      <c r="J92" s="63">
        <f t="shared" si="73"/>
        <v>105742.56599999999</v>
      </c>
      <c r="K92" s="63">
        <f t="shared" si="73"/>
        <v>109134.234</v>
      </c>
      <c r="L92" s="63">
        <f t="shared" si="73"/>
        <v>128630.59000000003</v>
      </c>
      <c r="M92" s="63">
        <f t="shared" si="73"/>
        <v>140339.66399999999</v>
      </c>
      <c r="N92" s="63">
        <f t="shared" si="73"/>
        <v>133631.712</v>
      </c>
      <c r="O92" s="63">
        <f t="shared" si="73"/>
        <v>126844.84799999998</v>
      </c>
      <c r="P92" s="63">
        <f t="shared" si="73"/>
        <v>129991.056</v>
      </c>
      <c r="R92" s="82" t="s">
        <v>110</v>
      </c>
      <c r="S92" s="285">
        <f t="shared" ref="S92:AA92" si="74">INDEX(rangeprovincez, 410+populationvaluea+behaviourvalueaz,AZ$112)</f>
        <v>4.1545531971021845E-3</v>
      </c>
      <c r="T92" s="88">
        <f t="shared" si="74"/>
        <v>3.686110274838702E-3</v>
      </c>
      <c r="U92" s="88">
        <f t="shared" si="74"/>
        <v>3.9198300405311115E-3</v>
      </c>
      <c r="V92" s="88">
        <f t="shared" si="74"/>
        <v>3.9130598657721579E-3</v>
      </c>
      <c r="W92" s="88">
        <f t="shared" si="74"/>
        <v>4.4998050431588202E-3</v>
      </c>
      <c r="X92" s="88">
        <f t="shared" si="74"/>
        <v>4.8167272425739018E-3</v>
      </c>
      <c r="Y92" s="88">
        <f t="shared" si="74"/>
        <v>4.4841359155961069E-3</v>
      </c>
      <c r="Z92" s="88">
        <f t="shared" si="74"/>
        <v>4.1642346296978357E-3</v>
      </c>
      <c r="AA92" s="88">
        <f t="shared" si="74"/>
        <v>4.1721005917729507E-3</v>
      </c>
      <c r="AC92" s="111"/>
      <c r="AN92" s="111"/>
      <c r="AX92" s="111"/>
      <c r="AY92" s="111"/>
      <c r="BI92" s="111"/>
      <c r="BJ92" s="111"/>
      <c r="BK92" s="111"/>
      <c r="BL92" s="111"/>
      <c r="BM92" s="111"/>
      <c r="BN92" s="111"/>
      <c r="BO92" s="111"/>
      <c r="BP92" s="111"/>
    </row>
    <row r="93" spans="2:68" s="82" customFormat="1" x14ac:dyDescent="0.3">
      <c r="B93" s="149"/>
      <c r="E93" s="111"/>
      <c r="F93" s="181"/>
      <c r="G93" s="195"/>
      <c r="H93" s="119"/>
      <c r="I93" s="119"/>
      <c r="J93" s="119"/>
      <c r="K93" s="119"/>
      <c r="L93" s="119"/>
      <c r="M93" s="119"/>
      <c r="N93" s="119"/>
      <c r="O93" s="119"/>
      <c r="P93" s="119"/>
      <c r="R93" s="111"/>
      <c r="AC93" s="111"/>
      <c r="AN93" s="111"/>
      <c r="AX93" s="111"/>
      <c r="AY93" s="111"/>
      <c r="BI93" s="111"/>
      <c r="BJ93" s="111"/>
      <c r="BK93" s="111"/>
      <c r="BL93" s="111"/>
      <c r="BM93" s="111"/>
      <c r="BN93" s="111"/>
      <c r="BO93" s="111"/>
      <c r="BP93" s="111"/>
    </row>
    <row r="94" spans="2:68" s="82" customFormat="1" x14ac:dyDescent="0.3">
      <c r="B94" s="149"/>
      <c r="E94" s="111"/>
      <c r="F94" s="181"/>
      <c r="G94" s="195"/>
      <c r="H94" s="119"/>
      <c r="I94" s="119"/>
      <c r="J94" s="119"/>
      <c r="K94" s="119"/>
      <c r="L94" s="119"/>
      <c r="M94" s="119"/>
      <c r="N94" s="119"/>
      <c r="O94" s="119"/>
      <c r="P94" s="119"/>
      <c r="R94" s="111"/>
      <c r="AC94" s="111"/>
      <c r="AN94" s="111"/>
      <c r="AX94" s="111"/>
      <c r="AY94" s="111"/>
      <c r="BI94" s="111"/>
      <c r="BJ94" s="111"/>
      <c r="BK94" s="111"/>
      <c r="BL94" s="111"/>
      <c r="BM94" s="111"/>
      <c r="BN94" s="111"/>
      <c r="BO94" s="111"/>
      <c r="BP94" s="111"/>
    </row>
    <row r="95" spans="2:68" s="82" customFormat="1" ht="24" x14ac:dyDescent="0.25">
      <c r="B95" s="149"/>
      <c r="E95" s="111"/>
      <c r="F95" s="181"/>
      <c r="G95" s="181"/>
      <c r="H95" s="167" t="s">
        <v>140</v>
      </c>
      <c r="I95" s="131" t="s">
        <v>123</v>
      </c>
      <c r="J95" s="131" t="s">
        <v>128</v>
      </c>
      <c r="K95" s="131" t="s">
        <v>29</v>
      </c>
      <c r="L95" s="132" t="s">
        <v>30</v>
      </c>
      <c r="M95" s="132" t="s">
        <v>31</v>
      </c>
      <c r="N95" s="132" t="s">
        <v>32</v>
      </c>
      <c r="O95" s="132" t="s">
        <v>33</v>
      </c>
      <c r="P95" s="61"/>
      <c r="Q95" s="61"/>
      <c r="S95" s="111"/>
      <c r="U95" s="167" t="s">
        <v>140</v>
      </c>
      <c r="V95" s="131" t="s">
        <v>123</v>
      </c>
      <c r="W95" s="131" t="s">
        <v>128</v>
      </c>
      <c r="X95" s="131" t="s">
        <v>29</v>
      </c>
      <c r="Y95" s="132" t="s">
        <v>30</v>
      </c>
      <c r="Z95" s="132" t="s">
        <v>31</v>
      </c>
      <c r="AA95" s="132" t="s">
        <v>32</v>
      </c>
      <c r="AB95" s="132" t="s">
        <v>33</v>
      </c>
      <c r="AD95" s="111"/>
      <c r="AO95" s="111"/>
      <c r="AX95" s="111"/>
      <c r="AY95" s="111"/>
      <c r="BI95" s="111"/>
      <c r="BJ95" s="111"/>
      <c r="BK95" s="111"/>
      <c r="BL95" s="111"/>
      <c r="BM95" s="111"/>
      <c r="BN95" s="111"/>
      <c r="BO95" s="111"/>
      <c r="BP95" s="111"/>
    </row>
    <row r="96" spans="2:68" s="82" customFormat="1" x14ac:dyDescent="0.25">
      <c r="B96" s="149"/>
      <c r="E96" s="111"/>
      <c r="F96" s="181"/>
      <c r="G96" s="82" t="s">
        <v>58</v>
      </c>
      <c r="H96" s="171"/>
      <c r="I96" s="292">
        <f>V67</f>
        <v>0.24881859170710111</v>
      </c>
      <c r="J96" s="61">
        <f>AA67</f>
        <v>0.20821469310275767</v>
      </c>
      <c r="K96" s="64">
        <f t="shared" ref="K96" si="75">J96-I96</f>
        <v>-4.0603898604343436E-2</v>
      </c>
      <c r="L96" s="134">
        <f t="shared" ref="L96" si="76">K96/I96</f>
        <v>-0.16318675516072631</v>
      </c>
      <c r="M96" s="65">
        <f t="shared" ref="M96:M106" si="77">SQRT(POWER(I96*AY67/100,2)+POWER(J96*BD67/100,2))</f>
        <v>1.3758094942572428E-2</v>
      </c>
      <c r="N96" s="65">
        <f t="shared" ref="N96" si="78">K96/M96</f>
        <v>-2.9512733248191627</v>
      </c>
      <c r="O96" s="65" t="str">
        <f t="shared" ref="O96" si="79">IF(AND(N96&gt;-2,N96&lt;2),"no","yes")</f>
        <v>yes</v>
      </c>
      <c r="P96" s="61"/>
      <c r="Q96" s="61"/>
      <c r="S96" s="111"/>
      <c r="U96" s="171"/>
      <c r="V96" s="61"/>
      <c r="W96" s="61"/>
      <c r="X96" s="61"/>
      <c r="Y96" s="61"/>
      <c r="Z96" s="61"/>
      <c r="AA96" s="61"/>
      <c r="AB96" s="61"/>
      <c r="AD96" s="111"/>
      <c r="AO96" s="111"/>
      <c r="AX96" s="111"/>
      <c r="AY96" s="111"/>
      <c r="BI96" s="111"/>
      <c r="BJ96" s="111"/>
      <c r="BK96" s="111"/>
      <c r="BL96" s="111"/>
      <c r="BM96" s="111"/>
      <c r="BN96" s="111"/>
      <c r="BO96" s="111"/>
      <c r="BP96" s="111"/>
    </row>
    <row r="97" spans="2:68" s="82" customFormat="1" x14ac:dyDescent="0.25">
      <c r="B97" s="149"/>
      <c r="E97" s="111"/>
      <c r="F97" s="181"/>
      <c r="G97" s="82" t="s">
        <v>68</v>
      </c>
      <c r="H97" s="111"/>
      <c r="I97" s="292">
        <f t="shared" ref="I97:I106" si="80">V68</f>
        <v>0.21217883740607016</v>
      </c>
      <c r="J97" s="61">
        <f t="shared" ref="J97:J106" si="81">AA68</f>
        <v>0.17007636905501056</v>
      </c>
      <c r="K97" s="64">
        <f>J97-I97</f>
        <v>-4.2102468351059602E-2</v>
      </c>
      <c r="L97" s="134">
        <f>K97/I97</f>
        <v>-0.19842915940991535</v>
      </c>
      <c r="M97" s="65">
        <f t="shared" si="77"/>
        <v>1.5228389064636041E-2</v>
      </c>
      <c r="N97" s="65">
        <f>K97/M97</f>
        <v>-2.7647355325870677</v>
      </c>
      <c r="O97" s="65" t="str">
        <f>IF(AND(N97&gt;-2,N97&lt;2),"no","yes")</f>
        <v>yes</v>
      </c>
      <c r="P97" s="61"/>
      <c r="Q97" s="61"/>
      <c r="S97" s="111"/>
      <c r="U97" s="111">
        <f>U92</f>
        <v>3.9198300405311115E-3</v>
      </c>
      <c r="V97" s="136">
        <f>Y74</f>
        <v>0.2155485224597764</v>
      </c>
      <c r="W97" s="136">
        <f>AD74</f>
        <v>0</v>
      </c>
      <c r="X97" s="136">
        <f>W97-V97</f>
        <v>-0.2155485224597764</v>
      </c>
      <c r="Y97" s="134">
        <f>X97/V97</f>
        <v>-1</v>
      </c>
      <c r="Z97" s="65">
        <f>SQRT(POWER(V97*Y78/100,2)+POWER(W97*AD78/100,2))</f>
        <v>0</v>
      </c>
      <c r="AA97" s="65" t="e">
        <f>X97/Z97</f>
        <v>#DIV/0!</v>
      </c>
      <c r="AB97" s="65" t="e">
        <f>IF(AND(AA97&gt;-2,AA97&lt;2),"no","yes")</f>
        <v>#DIV/0!</v>
      </c>
      <c r="AD97" s="111"/>
      <c r="AO97" s="111"/>
      <c r="AX97" s="111"/>
      <c r="AY97" s="111"/>
      <c r="BI97" s="111"/>
      <c r="BJ97" s="111"/>
      <c r="BK97" s="111"/>
      <c r="BL97" s="111"/>
      <c r="BM97" s="111"/>
      <c r="BN97" s="111"/>
      <c r="BO97" s="111"/>
      <c r="BP97" s="111"/>
    </row>
    <row r="98" spans="2:68" s="82" customFormat="1" x14ac:dyDescent="0.25">
      <c r="B98" s="149"/>
      <c r="E98" s="111"/>
      <c r="F98" s="181"/>
      <c r="G98" s="82" t="s">
        <v>69</v>
      </c>
      <c r="H98" s="111">
        <f>H93</f>
        <v>0</v>
      </c>
      <c r="I98" s="292">
        <f t="shared" si="80"/>
        <v>0.23971993206074479</v>
      </c>
      <c r="J98" s="61">
        <f t="shared" si="81"/>
        <v>0.17888725038703482</v>
      </c>
      <c r="K98" s="64">
        <f t="shared" ref="K98:K106" si="82">J98-I98</f>
        <v>-6.0832681673709976E-2</v>
      </c>
      <c r="L98" s="134">
        <f t="shared" ref="L98:L106" si="83">K98/I98</f>
        <v>-0.25376563872166891</v>
      </c>
      <c r="M98" s="65">
        <f t="shared" si="77"/>
        <v>1.2275738857000656E-2</v>
      </c>
      <c r="N98" s="65">
        <f t="shared" ref="N98:N106" si="84">K98/M98</f>
        <v>-4.9555209981530419</v>
      </c>
      <c r="O98" s="65" t="str">
        <f t="shared" ref="O98:O106" si="85">IF(AND(N98&gt;-2,N98&lt;2),"no","yes")</f>
        <v>yes</v>
      </c>
      <c r="P98" s="61"/>
      <c r="Q98" s="61"/>
      <c r="S98" s="111"/>
      <c r="U98" s="111">
        <f>U93</f>
        <v>0</v>
      </c>
      <c r="V98" s="136">
        <f>Y75</f>
        <v>0.19599128228947085</v>
      </c>
      <c r="W98" s="136">
        <f>AD75</f>
        <v>0</v>
      </c>
      <c r="X98" s="136">
        <f>W98-V98</f>
        <v>-0.19599128228947085</v>
      </c>
      <c r="Y98" s="134">
        <f>X98/V98</f>
        <v>-1</v>
      </c>
      <c r="Z98" s="65">
        <f>SQRT(POWER(V98*Y79/100,2)+POWER(W98*AD79/100,2))</f>
        <v>0</v>
      </c>
      <c r="AA98" s="65" t="e">
        <f>X98/Z98</f>
        <v>#DIV/0!</v>
      </c>
      <c r="AB98" s="65" t="e">
        <f>IF(AND(AA98&gt;-2,AA98&lt;2),"no","yes")</f>
        <v>#DIV/0!</v>
      </c>
      <c r="AD98" s="111"/>
      <c r="AO98" s="111"/>
      <c r="AX98" s="111"/>
      <c r="AY98" s="111"/>
      <c r="BI98" s="111"/>
      <c r="BJ98" s="111"/>
      <c r="BK98" s="111"/>
      <c r="BL98" s="111"/>
      <c r="BM98" s="111"/>
      <c r="BN98" s="111"/>
      <c r="BO98" s="111"/>
      <c r="BP98" s="111"/>
    </row>
    <row r="99" spans="2:68" s="82" customFormat="1" x14ac:dyDescent="0.25">
      <c r="B99" s="149"/>
      <c r="E99" s="111"/>
      <c r="F99" s="181"/>
      <c r="G99" s="82" t="s">
        <v>70</v>
      </c>
      <c r="H99" s="111"/>
      <c r="I99" s="292">
        <f t="shared" si="80"/>
        <v>0.2332072778720467</v>
      </c>
      <c r="J99" s="61">
        <f t="shared" si="81"/>
        <v>0.1439523658855863</v>
      </c>
      <c r="K99" s="64">
        <f t="shared" si="82"/>
        <v>-8.9254911986460406E-2</v>
      </c>
      <c r="L99" s="134">
        <f t="shared" si="83"/>
        <v>-0.3827278153618846</v>
      </c>
      <c r="M99" s="65">
        <f t="shared" si="77"/>
        <v>1.1573638225028625E-2</v>
      </c>
      <c r="N99" s="65">
        <f t="shared" si="84"/>
        <v>-7.7119148059632439</v>
      </c>
      <c r="O99" s="65" t="str">
        <f t="shared" si="85"/>
        <v>yes</v>
      </c>
      <c r="P99" s="61"/>
      <c r="Q99" s="61"/>
      <c r="S99" s="111"/>
      <c r="AD99" s="111"/>
      <c r="AO99" s="111"/>
      <c r="AX99" s="111"/>
      <c r="AY99" s="111"/>
      <c r="BI99" s="111"/>
      <c r="BJ99" s="111"/>
      <c r="BK99" s="111"/>
      <c r="BL99" s="111"/>
      <c r="BM99" s="111"/>
      <c r="BN99" s="111"/>
      <c r="BO99" s="111"/>
      <c r="BP99" s="111"/>
    </row>
    <row r="100" spans="2:68" s="82" customFormat="1" x14ac:dyDescent="0.25">
      <c r="B100" s="149"/>
      <c r="E100" s="111"/>
      <c r="F100" s="181"/>
      <c r="G100" s="82" t="s">
        <v>71</v>
      </c>
      <c r="H100" s="167"/>
      <c r="I100" s="292">
        <f t="shared" si="80"/>
        <v>0.24162218443379499</v>
      </c>
      <c r="J100" s="61">
        <f t="shared" si="81"/>
        <v>0.17875765506331501</v>
      </c>
      <c r="K100" s="64">
        <f t="shared" si="82"/>
        <v>-6.2864529370479982E-2</v>
      </c>
      <c r="L100" s="134">
        <f t="shared" si="83"/>
        <v>-0.26017697637240345</v>
      </c>
      <c r="M100" s="65">
        <f t="shared" si="77"/>
        <v>5.7538878186588049E-3</v>
      </c>
      <c r="N100" s="65">
        <f t="shared" si="84"/>
        <v>-10.925574385830364</v>
      </c>
      <c r="O100" s="65" t="str">
        <f t="shared" si="85"/>
        <v>yes</v>
      </c>
      <c r="P100" s="61"/>
      <c r="Q100" s="61"/>
      <c r="S100" s="111"/>
      <c r="U100" s="167"/>
      <c r="V100" s="131"/>
      <c r="W100" s="131"/>
      <c r="X100" s="131"/>
      <c r="Y100" s="132"/>
      <c r="Z100" s="132"/>
      <c r="AA100" s="132"/>
      <c r="AB100" s="132"/>
      <c r="AD100" s="111"/>
      <c r="AO100" s="111"/>
      <c r="AX100" s="111"/>
      <c r="AY100" s="111"/>
      <c r="BI100" s="111"/>
      <c r="BJ100" s="111"/>
      <c r="BK100" s="111"/>
      <c r="BL100" s="111"/>
      <c r="BM100" s="111"/>
      <c r="BN100" s="111"/>
      <c r="BO100" s="111"/>
      <c r="BP100" s="111"/>
    </row>
    <row r="101" spans="2:68" s="82" customFormat="1" x14ac:dyDescent="0.25">
      <c r="B101" s="149"/>
      <c r="E101" s="111"/>
      <c r="F101" s="181"/>
      <c r="G101" s="82" t="s">
        <v>72</v>
      </c>
      <c r="H101" s="171"/>
      <c r="I101" s="292">
        <f t="shared" si="80"/>
        <v>0.20201168345660586</v>
      </c>
      <c r="J101" s="61">
        <f t="shared" si="81"/>
        <v>0.15294602978029298</v>
      </c>
      <c r="K101" s="64">
        <f t="shared" si="82"/>
        <v>-4.9065653676312881E-2</v>
      </c>
      <c r="L101" s="134">
        <f t="shared" si="83"/>
        <v>-0.24288522741236734</v>
      </c>
      <c r="M101" s="65">
        <f t="shared" si="77"/>
        <v>5.1244857585942705E-3</v>
      </c>
      <c r="N101" s="65">
        <f t="shared" si="84"/>
        <v>-9.5747468112336769</v>
      </c>
      <c r="O101" s="65" t="str">
        <f t="shared" si="85"/>
        <v>yes</v>
      </c>
      <c r="P101" s="61"/>
      <c r="Q101" s="61"/>
      <c r="S101" s="111"/>
      <c r="U101" s="171"/>
      <c r="V101" s="61"/>
      <c r="W101" s="61"/>
      <c r="X101" s="61"/>
      <c r="Y101" s="61"/>
      <c r="Z101" s="61"/>
      <c r="AA101" s="61"/>
      <c r="AB101" s="61"/>
      <c r="AD101" s="111"/>
      <c r="AO101" s="111"/>
      <c r="AX101" s="111"/>
      <c r="AY101" s="111"/>
      <c r="BI101" s="111"/>
      <c r="BJ101" s="111"/>
      <c r="BK101" s="111"/>
      <c r="BL101" s="111"/>
      <c r="BM101" s="111"/>
      <c r="BN101" s="111"/>
      <c r="BO101" s="111"/>
      <c r="BP101" s="111"/>
    </row>
    <row r="102" spans="2:68" s="82" customFormat="1" x14ac:dyDescent="0.25">
      <c r="B102" s="149"/>
      <c r="E102" s="111"/>
      <c r="F102" s="181"/>
      <c r="G102" s="82" t="s">
        <v>73</v>
      </c>
      <c r="H102" s="111"/>
      <c r="I102" s="292">
        <f t="shared" si="80"/>
        <v>0.23268146956717622</v>
      </c>
      <c r="J102" s="61">
        <f t="shared" si="81"/>
        <v>0.16652469945541379</v>
      </c>
      <c r="K102" s="64">
        <f t="shared" si="82"/>
        <v>-6.6156770111762436E-2</v>
      </c>
      <c r="L102" s="134">
        <f t="shared" si="83"/>
        <v>-0.28432332937738591</v>
      </c>
      <c r="M102" s="65">
        <f t="shared" si="77"/>
        <v>1.2047801016303804E-2</v>
      </c>
      <c r="N102" s="65">
        <f t="shared" si="84"/>
        <v>-5.4911904688859936</v>
      </c>
      <c r="O102" s="65" t="str">
        <f t="shared" si="85"/>
        <v>yes</v>
      </c>
      <c r="P102" s="61"/>
      <c r="Q102" s="61"/>
      <c r="S102" s="111"/>
      <c r="U102" s="111"/>
      <c r="V102" s="136"/>
      <c r="W102" s="136"/>
      <c r="X102" s="136"/>
      <c r="Y102" s="134"/>
      <c r="Z102" s="65"/>
      <c r="AA102" s="65"/>
      <c r="AB102" s="65"/>
      <c r="AD102" s="111"/>
      <c r="AO102" s="111"/>
      <c r="AX102" s="111"/>
      <c r="AY102" s="111"/>
      <c r="BI102" s="111"/>
      <c r="BJ102" s="111"/>
      <c r="BK102" s="111"/>
      <c r="BL102" s="111"/>
      <c r="BM102" s="111"/>
      <c r="BN102" s="111"/>
      <c r="BO102" s="111"/>
      <c r="BP102" s="111"/>
    </row>
    <row r="103" spans="2:68" s="82" customFormat="1" x14ac:dyDescent="0.25">
      <c r="B103" s="149"/>
      <c r="E103" s="111"/>
      <c r="F103" s="181"/>
      <c r="G103" s="82" t="s">
        <v>74</v>
      </c>
      <c r="H103" s="111"/>
      <c r="I103" s="292">
        <f t="shared" si="80"/>
        <v>0.25583077746211408</v>
      </c>
      <c r="J103" s="61">
        <f t="shared" si="81"/>
        <v>0.20024726202669599</v>
      </c>
      <c r="K103" s="64">
        <f t="shared" si="82"/>
        <v>-5.558351543541809E-2</v>
      </c>
      <c r="L103" s="134">
        <f t="shared" si="83"/>
        <v>-0.21726672602419558</v>
      </c>
      <c r="M103" s="65">
        <f t="shared" si="77"/>
        <v>1.1854172373096526E-2</v>
      </c>
      <c r="N103" s="65">
        <f t="shared" si="84"/>
        <v>-4.6889410484334526</v>
      </c>
      <c r="O103" s="65" t="str">
        <f t="shared" si="85"/>
        <v>yes</v>
      </c>
      <c r="P103" s="61"/>
      <c r="Q103" s="61"/>
      <c r="S103" s="111"/>
      <c r="U103" s="111"/>
      <c r="V103" s="136"/>
      <c r="W103" s="136"/>
      <c r="X103" s="136"/>
      <c r="Y103" s="134"/>
      <c r="Z103" s="65"/>
      <c r="AA103" s="65"/>
      <c r="AB103" s="65"/>
      <c r="AD103" s="111"/>
      <c r="AO103" s="111"/>
      <c r="AX103" s="111"/>
      <c r="AY103" s="111"/>
      <c r="BI103" s="111"/>
      <c r="BJ103" s="111"/>
      <c r="BK103" s="111"/>
      <c r="BL103" s="111"/>
      <c r="BM103" s="111"/>
      <c r="BN103" s="111"/>
      <c r="BO103" s="111"/>
      <c r="BP103" s="111"/>
    </row>
    <row r="104" spans="2:68" s="82" customFormat="1" x14ac:dyDescent="0.25">
      <c r="B104" s="149"/>
      <c r="E104" s="111"/>
      <c r="F104" s="181"/>
      <c r="G104" s="82" t="s">
        <v>75</v>
      </c>
      <c r="H104" s="111"/>
      <c r="I104" s="292">
        <f t="shared" si="80"/>
        <v>0.22249596966956464</v>
      </c>
      <c r="J104" s="61">
        <f t="shared" si="81"/>
        <v>0.16395071664305336</v>
      </c>
      <c r="K104" s="64">
        <f t="shared" si="82"/>
        <v>-5.8545253026511285E-2</v>
      </c>
      <c r="L104" s="134">
        <f t="shared" si="83"/>
        <v>-0.26312949899028992</v>
      </c>
      <c r="M104" s="65">
        <f t="shared" si="77"/>
        <v>7.0069039812682681E-3</v>
      </c>
      <c r="N104" s="65">
        <f t="shared" si="84"/>
        <v>-8.3553668186436933</v>
      </c>
      <c r="O104" s="65" t="str">
        <f t="shared" si="85"/>
        <v>yes</v>
      </c>
      <c r="P104" s="61"/>
      <c r="Q104" s="61"/>
      <c r="S104" s="111"/>
      <c r="U104" s="111"/>
      <c r="V104" s="61"/>
      <c r="W104" s="61"/>
      <c r="X104" s="61"/>
      <c r="Y104" s="61"/>
      <c r="Z104" s="61"/>
      <c r="AA104" s="61"/>
      <c r="AB104" s="61"/>
      <c r="AD104" s="111"/>
      <c r="AO104" s="111"/>
      <c r="AX104" s="111"/>
      <c r="AY104" s="111"/>
      <c r="BI104" s="111"/>
      <c r="BJ104" s="111"/>
      <c r="BK104" s="111"/>
      <c r="BL104" s="111"/>
      <c r="BM104" s="111"/>
      <c r="BN104" s="111"/>
      <c r="BO104" s="111"/>
      <c r="BP104" s="111"/>
    </row>
    <row r="105" spans="2:68" s="82" customFormat="1" x14ac:dyDescent="0.25">
      <c r="B105" s="149"/>
      <c r="E105" s="111"/>
      <c r="F105" s="181"/>
      <c r="G105" s="82" t="s">
        <v>76</v>
      </c>
      <c r="H105" s="111"/>
      <c r="I105" s="292">
        <f t="shared" si="80"/>
        <v>0.18190722262404513</v>
      </c>
      <c r="J105" s="61">
        <f t="shared" si="81"/>
        <v>0.12567530948178224</v>
      </c>
      <c r="K105" s="64">
        <f t="shared" si="82"/>
        <v>-5.623191314226289E-2</v>
      </c>
      <c r="L105" s="134">
        <f t="shared" si="83"/>
        <v>-0.3091241366401356</v>
      </c>
      <c r="M105" s="65">
        <f t="shared" si="77"/>
        <v>6.8685432981770832E-3</v>
      </c>
      <c r="N105" s="65">
        <f t="shared" si="84"/>
        <v>-8.1868761251293094</v>
      </c>
      <c r="O105" s="65" t="str">
        <f t="shared" si="85"/>
        <v>yes</v>
      </c>
      <c r="P105" s="61"/>
      <c r="Q105" s="61"/>
      <c r="S105" s="111"/>
      <c r="AD105" s="111"/>
      <c r="AO105" s="111"/>
      <c r="AX105" s="111"/>
      <c r="AY105" s="111"/>
      <c r="BI105" s="111"/>
      <c r="BJ105" s="111"/>
      <c r="BK105" s="111"/>
      <c r="BL105" s="111"/>
      <c r="BM105" s="111"/>
      <c r="BN105" s="111"/>
      <c r="BO105" s="111"/>
      <c r="BP105" s="111"/>
    </row>
    <row r="106" spans="2:68" s="82" customFormat="1" x14ac:dyDescent="0.25">
      <c r="B106" s="149"/>
      <c r="E106" s="111"/>
      <c r="F106" s="181"/>
      <c r="G106" s="82" t="s">
        <v>110</v>
      </c>
      <c r="H106" s="111"/>
      <c r="I106" s="292">
        <f t="shared" si="80"/>
        <v>0.21739221476511991</v>
      </c>
      <c r="J106" s="61">
        <f t="shared" si="81"/>
        <v>0.16046540737588269</v>
      </c>
      <c r="K106" s="64">
        <f t="shared" si="82"/>
        <v>-5.6926807389237222E-2</v>
      </c>
      <c r="L106" s="134">
        <f t="shared" si="83"/>
        <v>-0.26186221733259141</v>
      </c>
      <c r="M106" s="65">
        <f t="shared" si="77"/>
        <v>2.8600026600070247E-3</v>
      </c>
      <c r="N106" s="65">
        <f t="shared" si="84"/>
        <v>-19.904459595536668</v>
      </c>
      <c r="O106" s="65" t="str">
        <f t="shared" si="85"/>
        <v>yes</v>
      </c>
      <c r="P106" s="61"/>
      <c r="Q106" s="61"/>
      <c r="S106" s="111"/>
      <c r="AD106" s="111"/>
      <c r="AO106" s="111"/>
      <c r="AX106" s="111"/>
      <c r="AY106" s="111"/>
      <c r="BI106" s="111"/>
      <c r="BJ106" s="111"/>
      <c r="BK106" s="111"/>
      <c r="BL106" s="111"/>
      <c r="BM106" s="111"/>
      <c r="BN106" s="111"/>
      <c r="BO106" s="111"/>
      <c r="BP106" s="111"/>
    </row>
    <row r="107" spans="2:68" s="82" customFormat="1" x14ac:dyDescent="0.3">
      <c r="B107" s="149"/>
      <c r="E107" s="111"/>
      <c r="F107" s="181"/>
      <c r="G107" s="195"/>
      <c r="H107" s="119"/>
      <c r="I107" s="119"/>
      <c r="J107" s="119"/>
      <c r="K107" s="119"/>
      <c r="L107" s="119"/>
      <c r="M107" s="119"/>
      <c r="N107" s="119"/>
      <c r="O107" s="119"/>
      <c r="P107" s="119"/>
      <c r="R107" s="111"/>
      <c r="AC107" s="111"/>
      <c r="AN107" s="111"/>
      <c r="AX107" s="111"/>
      <c r="AY107" s="111"/>
      <c r="BI107" s="111"/>
      <c r="BJ107" s="111"/>
      <c r="BK107" s="111"/>
      <c r="BL107" s="111"/>
      <c r="BM107" s="111"/>
      <c r="BN107" s="111"/>
      <c r="BO107" s="111"/>
      <c r="BP107" s="111"/>
    </row>
    <row r="108" spans="2:68" x14ac:dyDescent="0.3">
      <c r="F108" s="181"/>
      <c r="H108" s="67"/>
      <c r="I108" s="67"/>
      <c r="J108" s="67"/>
      <c r="K108" s="67"/>
      <c r="L108" s="67"/>
      <c r="M108" s="67"/>
      <c r="N108" s="67"/>
      <c r="O108" s="67"/>
      <c r="P108" s="67"/>
      <c r="Q108" s="87"/>
      <c r="R108" s="191"/>
      <c r="S108" s="87"/>
      <c r="T108" s="87"/>
      <c r="U108" s="87"/>
      <c r="V108" s="87"/>
      <c r="W108" s="87"/>
      <c r="X108" s="87"/>
      <c r="Y108" s="87"/>
      <c r="Z108" s="87"/>
      <c r="AA108" s="87"/>
      <c r="AB108" s="87"/>
      <c r="AC108" s="191"/>
    </row>
    <row r="109" spans="2:68" x14ac:dyDescent="0.3">
      <c r="F109" s="181"/>
      <c r="H109" s="67"/>
      <c r="I109" s="67"/>
      <c r="J109" s="67"/>
      <c r="K109" s="67"/>
      <c r="L109" s="67"/>
      <c r="M109" s="67"/>
      <c r="N109" s="67"/>
      <c r="O109" s="67"/>
      <c r="P109" s="67"/>
      <c r="Q109" s="87"/>
      <c r="R109" s="191"/>
      <c r="S109" s="87"/>
      <c r="T109" s="87"/>
      <c r="U109" s="87"/>
      <c r="V109" s="87"/>
      <c r="W109" s="87"/>
      <c r="X109" s="87"/>
      <c r="Y109" s="87"/>
      <c r="Z109" s="87"/>
      <c r="AA109" s="87"/>
      <c r="AB109" s="87"/>
      <c r="AC109" s="191"/>
    </row>
    <row r="110" spans="2:68" x14ac:dyDescent="0.3">
      <c r="F110" s="181"/>
      <c r="H110" s="67"/>
      <c r="I110" s="67"/>
      <c r="J110" s="67"/>
      <c r="K110" s="67"/>
      <c r="L110" s="67"/>
      <c r="M110" s="67"/>
      <c r="N110" s="67"/>
      <c r="O110" s="67"/>
      <c r="P110" s="67"/>
      <c r="Q110" s="87"/>
      <c r="R110" s="191"/>
      <c r="S110" s="87"/>
      <c r="T110" s="87"/>
      <c r="U110" s="87"/>
      <c r="V110" s="87"/>
      <c r="W110" s="87"/>
      <c r="X110" s="87"/>
      <c r="Y110" s="87"/>
      <c r="Z110" s="87"/>
      <c r="AA110" s="87"/>
      <c r="AB110" s="87"/>
      <c r="AC110" s="191"/>
    </row>
    <row r="111" spans="2:68" s="159" customFormat="1" x14ac:dyDescent="0.3">
      <c r="B111" s="157"/>
      <c r="C111" s="158"/>
      <c r="D111" s="158"/>
      <c r="E111" s="62" t="s">
        <v>20</v>
      </c>
      <c r="F111" s="62"/>
      <c r="G111" s="62"/>
      <c r="H111" s="62"/>
      <c r="I111" s="62"/>
      <c r="J111" s="62"/>
      <c r="K111" s="62"/>
      <c r="L111" s="62"/>
      <c r="M111" s="62"/>
      <c r="N111" s="62"/>
      <c r="O111" s="62"/>
      <c r="P111" s="62"/>
      <c r="R111" s="198"/>
      <c r="AC111" s="198"/>
      <c r="AN111" s="198"/>
      <c r="AX111" s="198"/>
      <c r="AY111" s="198"/>
      <c r="BI111" s="198"/>
      <c r="BJ111" s="198"/>
      <c r="BK111" s="198"/>
      <c r="BL111" s="198"/>
      <c r="BM111" s="198"/>
      <c r="BN111" s="198"/>
      <c r="BO111" s="198"/>
      <c r="BP111" s="198"/>
    </row>
    <row r="112" spans="2:68" x14ac:dyDescent="0.3">
      <c r="H112" s="56">
        <v>1</v>
      </c>
      <c r="I112" s="56">
        <v>2</v>
      </c>
      <c r="J112" s="56">
        <v>3</v>
      </c>
      <c r="K112" s="56">
        <v>4</v>
      </c>
      <c r="L112" s="56">
        <v>5</v>
      </c>
      <c r="M112" s="56">
        <v>6</v>
      </c>
      <c r="N112" s="56">
        <v>7</v>
      </c>
      <c r="O112" s="56">
        <v>8</v>
      </c>
      <c r="P112" s="56">
        <v>9</v>
      </c>
      <c r="Q112" s="56">
        <v>10</v>
      </c>
      <c r="R112" s="56">
        <v>11</v>
      </c>
      <c r="S112" s="56">
        <v>12</v>
      </c>
      <c r="T112" s="56">
        <v>13</v>
      </c>
      <c r="U112" s="56">
        <v>14</v>
      </c>
      <c r="V112" s="56">
        <v>15</v>
      </c>
      <c r="W112" s="56">
        <v>16</v>
      </c>
      <c r="X112" s="56">
        <v>17</v>
      </c>
      <c r="Y112" s="56">
        <v>18</v>
      </c>
      <c r="Z112" s="56">
        <v>19</v>
      </c>
      <c r="AA112" s="56">
        <v>20</v>
      </c>
      <c r="AB112" s="56">
        <v>21</v>
      </c>
      <c r="AC112" s="56">
        <v>22</v>
      </c>
      <c r="AD112" s="56">
        <v>23</v>
      </c>
      <c r="AE112" s="56">
        <v>24</v>
      </c>
      <c r="AF112" s="56">
        <v>25</v>
      </c>
      <c r="AG112" s="56">
        <v>26</v>
      </c>
      <c r="AH112" s="56">
        <v>27</v>
      </c>
      <c r="AI112" s="56">
        <v>28</v>
      </c>
      <c r="AJ112" s="56">
        <v>29</v>
      </c>
      <c r="AK112" s="56">
        <v>30</v>
      </c>
      <c r="AL112" s="56">
        <v>31</v>
      </c>
      <c r="AM112" s="56">
        <v>32</v>
      </c>
      <c r="AN112" s="56">
        <v>33</v>
      </c>
      <c r="AO112" s="56">
        <v>34</v>
      </c>
      <c r="AP112" s="56">
        <v>35</v>
      </c>
      <c r="AQ112" s="56">
        <v>36</v>
      </c>
      <c r="AR112" s="56">
        <v>37</v>
      </c>
      <c r="AS112" s="56">
        <v>38</v>
      </c>
      <c r="AT112" s="56">
        <v>39</v>
      </c>
      <c r="AU112" s="56">
        <v>40</v>
      </c>
      <c r="AV112" s="56">
        <v>41</v>
      </c>
      <c r="AW112" s="56">
        <v>42</v>
      </c>
      <c r="AX112" s="56">
        <v>43</v>
      </c>
      <c r="AY112" s="56">
        <v>44</v>
      </c>
      <c r="AZ112" s="56">
        <v>45</v>
      </c>
      <c r="BA112" s="56">
        <v>46</v>
      </c>
      <c r="BB112" s="56">
        <v>47</v>
      </c>
      <c r="BC112" s="56">
        <v>48</v>
      </c>
      <c r="BD112" s="56">
        <v>49</v>
      </c>
      <c r="BE112" s="56">
        <v>50</v>
      </c>
      <c r="BF112" s="56">
        <v>51</v>
      </c>
      <c r="BG112" s="56">
        <v>52</v>
      </c>
      <c r="BH112" s="56">
        <v>53</v>
      </c>
      <c r="BI112" s="56">
        <v>54</v>
      </c>
      <c r="BJ112" s="56">
        <v>55</v>
      </c>
      <c r="BK112" s="56">
        <v>56</v>
      </c>
      <c r="BL112" s="56">
        <v>57</v>
      </c>
      <c r="BM112" s="56">
        <v>58</v>
      </c>
      <c r="BN112" s="56">
        <v>59</v>
      </c>
    </row>
    <row r="113" spans="2:68" x14ac:dyDescent="0.3">
      <c r="H113" s="68" t="s">
        <v>44</v>
      </c>
    </row>
    <row r="115" spans="2:68" s="173" customFormat="1" x14ac:dyDescent="0.3">
      <c r="B115" s="172"/>
      <c r="C115" s="85"/>
      <c r="D115" s="85"/>
      <c r="E115" s="188"/>
      <c r="F115" s="189"/>
      <c r="G115" s="197"/>
      <c r="H115" s="69" t="s">
        <v>15</v>
      </c>
      <c r="I115" s="69"/>
      <c r="J115" s="69"/>
      <c r="K115" s="69"/>
      <c r="L115" s="69"/>
      <c r="M115" s="69"/>
      <c r="N115" s="69"/>
      <c r="O115" s="69"/>
      <c r="P115" s="69"/>
      <c r="R115" s="199" t="s">
        <v>16</v>
      </c>
      <c r="AC115" s="199"/>
      <c r="AD115" s="173" t="s">
        <v>17</v>
      </c>
      <c r="AN115" s="199"/>
      <c r="AO115" s="173" t="s">
        <v>18</v>
      </c>
      <c r="AX115" s="199"/>
      <c r="AY115" s="199"/>
      <c r="AZ115" s="173" t="s">
        <v>19</v>
      </c>
      <c r="BI115" s="199"/>
      <c r="BJ115" s="199"/>
      <c r="BK115" s="199"/>
      <c r="BL115" s="199"/>
      <c r="BM115" s="199"/>
      <c r="BN115" s="199"/>
      <c r="BO115" s="199"/>
      <c r="BP115" s="199"/>
    </row>
    <row r="116" spans="2:68" x14ac:dyDescent="0.3">
      <c r="H116" s="122" t="s">
        <v>122</v>
      </c>
      <c r="I116" s="121">
        <v>2003</v>
      </c>
      <c r="J116" s="121">
        <v>2005</v>
      </c>
      <c r="K116" s="122" t="s">
        <v>123</v>
      </c>
      <c r="L116" s="122" t="s">
        <v>124</v>
      </c>
      <c r="M116" s="122" t="s">
        <v>125</v>
      </c>
      <c r="N116" s="122" t="s">
        <v>126</v>
      </c>
      <c r="O116" s="122" t="s">
        <v>127</v>
      </c>
      <c r="P116" s="122" t="s">
        <v>128</v>
      </c>
      <c r="R116" s="197" t="s">
        <v>8</v>
      </c>
      <c r="S116" s="120" t="s">
        <v>122</v>
      </c>
      <c r="T116" s="121">
        <v>2003</v>
      </c>
      <c r="U116" s="121">
        <v>2005</v>
      </c>
      <c r="V116" s="122" t="s">
        <v>123</v>
      </c>
      <c r="W116" s="122" t="s">
        <v>124</v>
      </c>
      <c r="X116" s="122" t="s">
        <v>125</v>
      </c>
      <c r="Y116" s="122" t="s">
        <v>126</v>
      </c>
      <c r="Z116" s="122" t="s">
        <v>127</v>
      </c>
      <c r="AA116" s="122" t="s">
        <v>128</v>
      </c>
      <c r="AC116" s="197" t="s">
        <v>8</v>
      </c>
      <c r="AD116" s="120" t="s">
        <v>122</v>
      </c>
      <c r="AE116" s="121">
        <v>2003</v>
      </c>
      <c r="AF116" s="121">
        <v>2005</v>
      </c>
      <c r="AG116" s="122" t="s">
        <v>123</v>
      </c>
      <c r="AH116" s="122" t="s">
        <v>124</v>
      </c>
      <c r="AI116" s="122" t="s">
        <v>125</v>
      </c>
      <c r="AJ116" s="122" t="s">
        <v>126</v>
      </c>
      <c r="AK116" s="122" t="s">
        <v>127</v>
      </c>
      <c r="AL116" s="122" t="s">
        <v>128</v>
      </c>
      <c r="AN116" s="197" t="s">
        <v>8</v>
      </c>
      <c r="AO116" s="120" t="s">
        <v>122</v>
      </c>
      <c r="AP116" s="121">
        <v>2003</v>
      </c>
      <c r="AQ116" s="121">
        <v>2005</v>
      </c>
      <c r="AR116" s="122" t="s">
        <v>123</v>
      </c>
      <c r="AS116" s="122" t="s">
        <v>124</v>
      </c>
      <c r="AT116" s="122" t="s">
        <v>125</v>
      </c>
      <c r="AU116" s="122" t="s">
        <v>126</v>
      </c>
      <c r="AV116" s="122" t="s">
        <v>127</v>
      </c>
      <c r="AW116" s="122" t="s">
        <v>128</v>
      </c>
      <c r="AY116" s="197" t="s">
        <v>8</v>
      </c>
      <c r="AZ116" s="120" t="s">
        <v>122</v>
      </c>
      <c r="BA116" s="121">
        <v>2003</v>
      </c>
      <c r="BB116" s="121">
        <v>2005</v>
      </c>
      <c r="BC116" s="122" t="s">
        <v>123</v>
      </c>
      <c r="BD116" s="122" t="s">
        <v>124</v>
      </c>
      <c r="BE116" s="122" t="s">
        <v>125</v>
      </c>
      <c r="BF116" s="122" t="s">
        <v>126</v>
      </c>
      <c r="BG116" s="122" t="s">
        <v>127</v>
      </c>
      <c r="BH116" s="122" t="s">
        <v>128</v>
      </c>
    </row>
    <row r="117" spans="2:68" s="87" customFormat="1" x14ac:dyDescent="0.25">
      <c r="B117" s="84"/>
      <c r="C117" s="85"/>
      <c r="D117" s="85"/>
      <c r="E117" s="109" t="s">
        <v>0</v>
      </c>
      <c r="F117" s="110" t="s">
        <v>60</v>
      </c>
      <c r="G117" s="195" t="s">
        <v>7</v>
      </c>
      <c r="H117" s="69">
        <v>61433</v>
      </c>
      <c r="I117" s="69">
        <v>57939</v>
      </c>
      <c r="J117" s="69">
        <v>53254</v>
      </c>
      <c r="K117" s="69">
        <v>49280</v>
      </c>
      <c r="L117" s="69">
        <v>47721</v>
      </c>
      <c r="M117" s="69">
        <v>45184</v>
      </c>
      <c r="N117" s="69">
        <v>43558</v>
      </c>
      <c r="O117" s="69">
        <v>43947</v>
      </c>
      <c r="P117" s="69">
        <v>40307</v>
      </c>
      <c r="R117" s="195" t="s">
        <v>7</v>
      </c>
      <c r="S117" s="226">
        <v>1.8</v>
      </c>
      <c r="T117" s="226">
        <v>2.1</v>
      </c>
      <c r="U117" s="226">
        <v>2.1</v>
      </c>
      <c r="V117" s="226">
        <v>2.1</v>
      </c>
      <c r="W117" s="226">
        <v>2.2000000000000002</v>
      </c>
      <c r="X117" s="226">
        <v>2.2999999999999998</v>
      </c>
      <c r="Y117" s="226">
        <v>2.4</v>
      </c>
      <c r="Z117" s="226">
        <v>2.6</v>
      </c>
      <c r="AA117" s="226">
        <v>2.6</v>
      </c>
      <c r="AB117" s="125"/>
      <c r="AC117" s="195" t="s">
        <v>7</v>
      </c>
      <c r="AD117" s="69">
        <f>2*(H117*S117/100)</f>
        <v>2211.5880000000002</v>
      </c>
      <c r="AE117" s="69">
        <f t="shared" ref="AE117:AL132" si="86">2*(I117*T117/100)</f>
        <v>2433.4380000000001</v>
      </c>
      <c r="AF117" s="69">
        <f t="shared" si="86"/>
        <v>2236.6680000000001</v>
      </c>
      <c r="AG117" s="69">
        <f t="shared" si="86"/>
        <v>2069.7600000000002</v>
      </c>
      <c r="AH117" s="69">
        <f t="shared" si="86"/>
        <v>2099.7240000000002</v>
      </c>
      <c r="AI117" s="69">
        <f t="shared" si="86"/>
        <v>2078.4639999999999</v>
      </c>
      <c r="AJ117" s="69">
        <f t="shared" si="86"/>
        <v>2090.7840000000001</v>
      </c>
      <c r="AK117" s="69">
        <f>2*(O117*Z117/100)</f>
        <v>2285.2440000000001</v>
      </c>
      <c r="AL117" s="69">
        <f>2*(P117*AA117/100)</f>
        <v>2095.9639999999999</v>
      </c>
      <c r="AN117" s="195" t="s">
        <v>7</v>
      </c>
      <c r="AO117" s="98">
        <f t="shared" ref="AO117:AW117" si="87">H117/H117</f>
        <v>1</v>
      </c>
      <c r="AP117" s="98">
        <f t="shared" si="87"/>
        <v>1</v>
      </c>
      <c r="AQ117" s="98">
        <f t="shared" si="87"/>
        <v>1</v>
      </c>
      <c r="AR117" s="98">
        <f t="shared" si="87"/>
        <v>1</v>
      </c>
      <c r="AS117" s="98">
        <f t="shared" si="87"/>
        <v>1</v>
      </c>
      <c r="AT117" s="98">
        <f t="shared" si="87"/>
        <v>1</v>
      </c>
      <c r="AU117" s="98">
        <f t="shared" si="87"/>
        <v>1</v>
      </c>
      <c r="AV117" s="98">
        <f t="shared" si="87"/>
        <v>1</v>
      </c>
      <c r="AW117" s="98">
        <f t="shared" si="87"/>
        <v>1</v>
      </c>
      <c r="AX117" s="191"/>
      <c r="AY117" s="195" t="s">
        <v>7</v>
      </c>
      <c r="AZ117" s="178">
        <f t="shared" ref="AZ117:BH145" si="88">2*(S117*AO117/100)</f>
        <v>3.6000000000000004E-2</v>
      </c>
      <c r="BA117" s="178">
        <f t="shared" si="88"/>
        <v>4.2000000000000003E-2</v>
      </c>
      <c r="BB117" s="178">
        <f t="shared" si="88"/>
        <v>4.2000000000000003E-2</v>
      </c>
      <c r="BC117" s="178">
        <f t="shared" si="88"/>
        <v>4.2000000000000003E-2</v>
      </c>
      <c r="BD117" s="178">
        <f t="shared" si="88"/>
        <v>4.4000000000000004E-2</v>
      </c>
      <c r="BE117" s="178">
        <f t="shared" si="88"/>
        <v>4.5999999999999999E-2</v>
      </c>
      <c r="BF117" s="178">
        <f t="shared" si="88"/>
        <v>4.8000000000000001E-2</v>
      </c>
      <c r="BG117" s="178">
        <f t="shared" si="88"/>
        <v>5.2000000000000005E-2</v>
      </c>
      <c r="BH117" s="178">
        <f t="shared" si="88"/>
        <v>5.2000000000000005E-2</v>
      </c>
      <c r="BI117" s="191"/>
      <c r="BJ117" s="191"/>
      <c r="BK117" s="191"/>
      <c r="BL117" s="191"/>
      <c r="BM117" s="191"/>
      <c r="BN117" s="191"/>
      <c r="BO117" s="191"/>
      <c r="BP117" s="191"/>
    </row>
    <row r="118" spans="2:68" s="108" customFormat="1" x14ac:dyDescent="0.25">
      <c r="B118" s="107"/>
      <c r="E118" s="109" t="s">
        <v>0</v>
      </c>
      <c r="F118" s="110" t="s">
        <v>60</v>
      </c>
      <c r="G118" s="111" t="s">
        <v>54</v>
      </c>
      <c r="H118" s="112">
        <v>11311</v>
      </c>
      <c r="I118" s="112">
        <v>9855</v>
      </c>
      <c r="J118" s="112">
        <v>9415</v>
      </c>
      <c r="K118" s="112">
        <v>6462</v>
      </c>
      <c r="L118" s="112">
        <v>7854</v>
      </c>
      <c r="M118" s="112">
        <v>4711</v>
      </c>
      <c r="N118" s="112">
        <v>4489</v>
      </c>
      <c r="O118" s="112" t="s">
        <v>129</v>
      </c>
      <c r="P118" s="112" t="s">
        <v>129</v>
      </c>
      <c r="R118" s="111" t="s">
        <v>54</v>
      </c>
      <c r="S118" s="220">
        <v>12.3</v>
      </c>
      <c r="T118" s="220">
        <v>15</v>
      </c>
      <c r="U118" s="220">
        <v>14.2</v>
      </c>
      <c r="V118" s="220">
        <v>17.100000000000001</v>
      </c>
      <c r="W118" s="220">
        <v>16.600000000000001</v>
      </c>
      <c r="X118" s="220">
        <v>23.8</v>
      </c>
      <c r="Y118" s="220">
        <v>23.1</v>
      </c>
      <c r="Z118" s="220" t="s">
        <v>129</v>
      </c>
      <c r="AA118" s="220" t="s">
        <v>129</v>
      </c>
      <c r="AB118" s="126"/>
      <c r="AC118" s="111" t="s">
        <v>54</v>
      </c>
      <c r="AD118" s="112">
        <f>2*(H118*S118/100)</f>
        <v>2782.5060000000003</v>
      </c>
      <c r="AE118" s="112">
        <f t="shared" si="86"/>
        <v>2956.5</v>
      </c>
      <c r="AF118" s="112">
        <f t="shared" si="86"/>
        <v>2673.86</v>
      </c>
      <c r="AG118" s="112">
        <f t="shared" si="86"/>
        <v>2210.0040000000004</v>
      </c>
      <c r="AH118" s="112">
        <f t="shared" si="86"/>
        <v>2607.5280000000002</v>
      </c>
      <c r="AI118" s="112">
        <f t="shared" si="86"/>
        <v>2242.4360000000001</v>
      </c>
      <c r="AJ118" s="112">
        <f t="shared" si="86"/>
        <v>2073.9180000000001</v>
      </c>
      <c r="AK118" s="112" t="e">
        <f t="shared" si="86"/>
        <v>#VALUE!</v>
      </c>
      <c r="AL118" s="112" t="e">
        <f t="shared" si="86"/>
        <v>#VALUE!</v>
      </c>
      <c r="AN118" s="111" t="s">
        <v>54</v>
      </c>
      <c r="AO118" s="113">
        <f t="shared" ref="AO118:AW118" si="89">H118/H117</f>
        <v>0.18411928442368108</v>
      </c>
      <c r="AP118" s="113">
        <f t="shared" si="89"/>
        <v>0.17009268368456479</v>
      </c>
      <c r="AQ118" s="113">
        <f t="shared" si="89"/>
        <v>0.17679423141923611</v>
      </c>
      <c r="AR118" s="113">
        <f t="shared" si="89"/>
        <v>0.13112824675324675</v>
      </c>
      <c r="AS118" s="113">
        <f t="shared" si="89"/>
        <v>0.16458163072861004</v>
      </c>
      <c r="AT118" s="113">
        <f t="shared" si="89"/>
        <v>0.10426257082152975</v>
      </c>
      <c r="AU118" s="113">
        <f t="shared" si="89"/>
        <v>0.10305799164332614</v>
      </c>
      <c r="AV118" s="113" t="e">
        <f t="shared" si="89"/>
        <v>#VALUE!</v>
      </c>
      <c r="AW118" s="113" t="e">
        <f t="shared" si="89"/>
        <v>#VALUE!</v>
      </c>
      <c r="AY118" s="111" t="s">
        <v>54</v>
      </c>
      <c r="AZ118" s="179">
        <f t="shared" si="88"/>
        <v>4.5293343968225548E-2</v>
      </c>
      <c r="BA118" s="179">
        <f t="shared" si="88"/>
        <v>5.1027805105369438E-2</v>
      </c>
      <c r="BB118" s="179">
        <f t="shared" si="88"/>
        <v>5.0209561723063054E-2</v>
      </c>
      <c r="BC118" s="179">
        <f t="shared" si="88"/>
        <v>4.4845860389610387E-2</v>
      </c>
      <c r="BD118" s="179">
        <f t="shared" si="88"/>
        <v>5.464110140189854E-2</v>
      </c>
      <c r="BE118" s="179">
        <f t="shared" si="88"/>
        <v>4.9628983711048159E-2</v>
      </c>
      <c r="BF118" s="179">
        <f t="shared" si="88"/>
        <v>4.7612792139216681E-2</v>
      </c>
      <c r="BG118" s="179" t="e">
        <f t="shared" si="88"/>
        <v>#VALUE!</v>
      </c>
      <c r="BH118" s="179" t="e">
        <f t="shared" si="88"/>
        <v>#VALUE!</v>
      </c>
    </row>
    <row r="119" spans="2:68" s="108" customFormat="1" x14ac:dyDescent="0.25">
      <c r="B119" s="107"/>
      <c r="E119" s="109" t="s">
        <v>0</v>
      </c>
      <c r="F119" s="110" t="s">
        <v>60</v>
      </c>
      <c r="G119" s="111" t="s">
        <v>55</v>
      </c>
      <c r="H119" s="70">
        <v>3237</v>
      </c>
      <c r="I119" s="70">
        <v>3307</v>
      </c>
      <c r="J119" s="112" t="s">
        <v>129</v>
      </c>
      <c r="K119" s="112" t="s">
        <v>129</v>
      </c>
      <c r="L119" s="112" t="s">
        <v>129</v>
      </c>
      <c r="M119" s="112" t="s">
        <v>129</v>
      </c>
      <c r="N119" s="112" t="s">
        <v>129</v>
      </c>
      <c r="O119" s="112" t="s">
        <v>129</v>
      </c>
      <c r="P119" s="112" t="s">
        <v>129</v>
      </c>
      <c r="R119" s="111" t="s">
        <v>55</v>
      </c>
      <c r="S119" s="81">
        <v>24.8</v>
      </c>
      <c r="T119" s="81">
        <v>27.5</v>
      </c>
      <c r="U119" s="81" t="s">
        <v>57</v>
      </c>
      <c r="V119" s="81" t="s">
        <v>57</v>
      </c>
      <c r="W119" s="81" t="s">
        <v>57</v>
      </c>
      <c r="X119" s="81" t="s">
        <v>57</v>
      </c>
      <c r="Y119" s="81" t="s">
        <v>57</v>
      </c>
      <c r="Z119" s="81" t="s">
        <v>129</v>
      </c>
      <c r="AA119" s="81" t="s">
        <v>129</v>
      </c>
      <c r="AB119" s="126"/>
      <c r="AC119" s="111" t="s">
        <v>55</v>
      </c>
      <c r="AD119" s="70">
        <f t="shared" ref="AD119:AL156" si="90">2*(H119*S119/100)</f>
        <v>1605.5520000000001</v>
      </c>
      <c r="AE119" s="70">
        <f t="shared" si="86"/>
        <v>1818.85</v>
      </c>
      <c r="AF119" s="70" t="e">
        <f t="shared" si="86"/>
        <v>#VALUE!</v>
      </c>
      <c r="AG119" s="70" t="e">
        <f t="shared" si="86"/>
        <v>#VALUE!</v>
      </c>
      <c r="AH119" s="70" t="e">
        <f t="shared" si="86"/>
        <v>#VALUE!</v>
      </c>
      <c r="AI119" s="70" t="e">
        <f t="shared" si="86"/>
        <v>#VALUE!</v>
      </c>
      <c r="AJ119" s="70" t="e">
        <f t="shared" si="86"/>
        <v>#VALUE!</v>
      </c>
      <c r="AK119" s="70" t="e">
        <f t="shared" si="86"/>
        <v>#VALUE!</v>
      </c>
      <c r="AL119" s="70" t="e">
        <f t="shared" si="86"/>
        <v>#VALUE!</v>
      </c>
      <c r="AN119" s="111" t="s">
        <v>55</v>
      </c>
      <c r="AO119" s="113">
        <f t="shared" ref="AO119:AW119" si="91">H119/H117</f>
        <v>5.2691550144059379E-2</v>
      </c>
      <c r="AP119" s="113">
        <f t="shared" si="91"/>
        <v>5.707727092286715E-2</v>
      </c>
      <c r="AQ119" s="113" t="e">
        <f t="shared" si="91"/>
        <v>#VALUE!</v>
      </c>
      <c r="AR119" s="113" t="e">
        <f t="shared" si="91"/>
        <v>#VALUE!</v>
      </c>
      <c r="AS119" s="113" t="e">
        <f t="shared" si="91"/>
        <v>#VALUE!</v>
      </c>
      <c r="AT119" s="113" t="e">
        <f t="shared" si="91"/>
        <v>#VALUE!</v>
      </c>
      <c r="AU119" s="113" t="e">
        <f t="shared" si="91"/>
        <v>#VALUE!</v>
      </c>
      <c r="AV119" s="113" t="e">
        <f t="shared" si="91"/>
        <v>#VALUE!</v>
      </c>
      <c r="AW119" s="113" t="e">
        <f t="shared" si="91"/>
        <v>#VALUE!</v>
      </c>
      <c r="AY119" s="111" t="s">
        <v>55</v>
      </c>
      <c r="AZ119" s="179">
        <f t="shared" si="88"/>
        <v>2.6135008871453452E-2</v>
      </c>
      <c r="BA119" s="179">
        <f t="shared" si="88"/>
        <v>3.1392499007576929E-2</v>
      </c>
      <c r="BB119" s="179" t="e">
        <f t="shared" si="88"/>
        <v>#VALUE!</v>
      </c>
      <c r="BC119" s="179" t="e">
        <f t="shared" si="88"/>
        <v>#VALUE!</v>
      </c>
      <c r="BD119" s="179" t="e">
        <f t="shared" si="88"/>
        <v>#VALUE!</v>
      </c>
      <c r="BE119" s="179" t="e">
        <f t="shared" si="88"/>
        <v>#VALUE!</v>
      </c>
      <c r="BF119" s="179" t="e">
        <f t="shared" si="88"/>
        <v>#VALUE!</v>
      </c>
      <c r="BG119" s="179" t="e">
        <f t="shared" si="88"/>
        <v>#VALUE!</v>
      </c>
      <c r="BH119" s="179" t="e">
        <f t="shared" si="88"/>
        <v>#VALUE!</v>
      </c>
    </row>
    <row r="120" spans="2:68" s="108" customFormat="1" x14ac:dyDescent="0.25">
      <c r="B120" s="107"/>
      <c r="E120" s="109" t="s">
        <v>0</v>
      </c>
      <c r="F120" s="110" t="s">
        <v>60</v>
      </c>
      <c r="G120" s="111" t="s">
        <v>130</v>
      </c>
      <c r="H120" s="70">
        <v>6360</v>
      </c>
      <c r="I120" s="70">
        <v>7075</v>
      </c>
      <c r="J120" s="70">
        <v>4486</v>
      </c>
      <c r="K120" s="70">
        <v>4893</v>
      </c>
      <c r="L120" s="70">
        <v>4572</v>
      </c>
      <c r="M120" s="70">
        <v>4315</v>
      </c>
      <c r="N120" s="70">
        <v>2552</v>
      </c>
      <c r="O120" s="112" t="s">
        <v>129</v>
      </c>
      <c r="P120" s="112" t="s">
        <v>129</v>
      </c>
      <c r="R120" s="111" t="s">
        <v>130</v>
      </c>
      <c r="S120" s="220">
        <v>17.100000000000001</v>
      </c>
      <c r="T120" s="220">
        <v>17.5</v>
      </c>
      <c r="U120" s="220">
        <v>22.5</v>
      </c>
      <c r="V120" s="220">
        <v>20.9</v>
      </c>
      <c r="W120" s="220">
        <v>25.5</v>
      </c>
      <c r="X120" s="220">
        <v>24.5</v>
      </c>
      <c r="Y120" s="220">
        <v>33.5</v>
      </c>
      <c r="Z120" s="220" t="s">
        <v>129</v>
      </c>
      <c r="AA120" s="220" t="s">
        <v>129</v>
      </c>
      <c r="AB120" s="126"/>
      <c r="AC120" s="111" t="s">
        <v>130</v>
      </c>
      <c r="AD120" s="70">
        <f t="shared" si="90"/>
        <v>2175.1200000000003</v>
      </c>
      <c r="AE120" s="70">
        <f t="shared" si="86"/>
        <v>2476.25</v>
      </c>
      <c r="AF120" s="70">
        <f t="shared" si="86"/>
        <v>2018.7</v>
      </c>
      <c r="AG120" s="70">
        <f t="shared" si="86"/>
        <v>2045.2739999999999</v>
      </c>
      <c r="AH120" s="70">
        <f t="shared" si="86"/>
        <v>2331.7199999999998</v>
      </c>
      <c r="AI120" s="70">
        <f t="shared" si="86"/>
        <v>2114.35</v>
      </c>
      <c r="AJ120" s="70">
        <f t="shared" si="86"/>
        <v>1709.84</v>
      </c>
      <c r="AK120" s="70" t="e">
        <f t="shared" si="86"/>
        <v>#VALUE!</v>
      </c>
      <c r="AL120" s="70" t="e">
        <f t="shared" si="86"/>
        <v>#VALUE!</v>
      </c>
      <c r="AN120" s="111" t="s">
        <v>130</v>
      </c>
      <c r="AO120" s="113">
        <f t="shared" ref="AO120:AW120" si="92">H120/H117</f>
        <v>0.10352742011622418</v>
      </c>
      <c r="AP120" s="113">
        <f t="shared" si="92"/>
        <v>0.12211118590241461</v>
      </c>
      <c r="AQ120" s="113">
        <f t="shared" si="92"/>
        <v>8.423780373305291E-2</v>
      </c>
      <c r="AR120" s="113">
        <f t="shared" si="92"/>
        <v>9.9289772727272727E-2</v>
      </c>
      <c r="AS120" s="113">
        <f t="shared" si="92"/>
        <v>9.5806877475325333E-2</v>
      </c>
      <c r="AT120" s="113">
        <f t="shared" si="92"/>
        <v>9.5498406515580739E-2</v>
      </c>
      <c r="AU120" s="113">
        <f t="shared" si="92"/>
        <v>5.8588548601864181E-2</v>
      </c>
      <c r="AV120" s="113" t="e">
        <f t="shared" si="92"/>
        <v>#VALUE!</v>
      </c>
      <c r="AW120" s="113" t="e">
        <f t="shared" si="92"/>
        <v>#VALUE!</v>
      </c>
      <c r="AY120" s="111" t="s">
        <v>130</v>
      </c>
      <c r="AZ120" s="179">
        <f t="shared" si="88"/>
        <v>3.540637767974867E-2</v>
      </c>
      <c r="BA120" s="179">
        <f t="shared" si="88"/>
        <v>4.2738915065845109E-2</v>
      </c>
      <c r="BB120" s="179">
        <f t="shared" si="88"/>
        <v>3.7907011679873807E-2</v>
      </c>
      <c r="BC120" s="179">
        <f t="shared" si="88"/>
        <v>4.1503125000000002E-2</v>
      </c>
      <c r="BD120" s="179">
        <f t="shared" si="88"/>
        <v>4.8861507512415921E-2</v>
      </c>
      <c r="BE120" s="179">
        <f t="shared" si="88"/>
        <v>4.6794219192634559E-2</v>
      </c>
      <c r="BF120" s="179">
        <f t="shared" si="88"/>
        <v>3.9254327563249002E-2</v>
      </c>
      <c r="BG120" s="179" t="e">
        <f t="shared" si="88"/>
        <v>#VALUE!</v>
      </c>
      <c r="BH120" s="179" t="e">
        <f t="shared" si="88"/>
        <v>#VALUE!</v>
      </c>
    </row>
    <row r="121" spans="2:68" s="108" customFormat="1" x14ac:dyDescent="0.25">
      <c r="B121" s="107"/>
      <c r="E121" s="109" t="s">
        <v>0</v>
      </c>
      <c r="F121" s="110" t="s">
        <v>60</v>
      </c>
      <c r="G121" s="111" t="s">
        <v>131</v>
      </c>
      <c r="H121" s="112">
        <v>40525</v>
      </c>
      <c r="I121" s="112">
        <v>37701</v>
      </c>
      <c r="J121" s="112">
        <v>37106</v>
      </c>
      <c r="K121" s="112">
        <v>36245</v>
      </c>
      <c r="L121" s="112">
        <v>34603</v>
      </c>
      <c r="M121" s="112">
        <v>35568</v>
      </c>
      <c r="N121" s="112">
        <v>35252</v>
      </c>
      <c r="O121" s="112">
        <v>36971</v>
      </c>
      <c r="P121" s="112">
        <v>35767</v>
      </c>
      <c r="R121" s="111" t="s">
        <v>131</v>
      </c>
      <c r="S121" s="220">
        <v>6.6</v>
      </c>
      <c r="T121" s="220">
        <v>5.8</v>
      </c>
      <c r="U121" s="220">
        <v>5.5</v>
      </c>
      <c r="V121" s="220">
        <v>4.0999999999999996</v>
      </c>
      <c r="W121" s="220">
        <v>4.4000000000000004</v>
      </c>
      <c r="X121" s="220">
        <v>10.7</v>
      </c>
      <c r="Y121" s="220">
        <v>5.3</v>
      </c>
      <c r="Z121" s="220">
        <v>2.8</v>
      </c>
      <c r="AA121" s="220">
        <v>4.5</v>
      </c>
      <c r="AB121" s="126"/>
      <c r="AC121" s="111" t="s">
        <v>131</v>
      </c>
      <c r="AD121" s="112">
        <f t="shared" si="90"/>
        <v>5349.3</v>
      </c>
      <c r="AE121" s="112">
        <f t="shared" si="86"/>
        <v>4373.3159999999998</v>
      </c>
      <c r="AF121" s="112">
        <f t="shared" si="86"/>
        <v>4081.66</v>
      </c>
      <c r="AG121" s="112">
        <f t="shared" si="86"/>
        <v>2972.09</v>
      </c>
      <c r="AH121" s="112">
        <f t="shared" si="86"/>
        <v>3045.0640000000003</v>
      </c>
      <c r="AI121" s="112">
        <f t="shared" si="86"/>
        <v>7611.5519999999997</v>
      </c>
      <c r="AJ121" s="112">
        <f t="shared" si="86"/>
        <v>3736.712</v>
      </c>
      <c r="AK121" s="112">
        <f t="shared" si="86"/>
        <v>2070.3759999999997</v>
      </c>
      <c r="AL121" s="112">
        <f t="shared" si="86"/>
        <v>3219.03</v>
      </c>
      <c r="AN121" s="111" t="s">
        <v>131</v>
      </c>
      <c r="AO121" s="113">
        <f t="shared" ref="AO121:AW121" si="93">H121/H117</f>
        <v>0.65966174531603539</v>
      </c>
      <c r="AP121" s="113">
        <f t="shared" si="93"/>
        <v>0.65070159995857713</v>
      </c>
      <c r="AQ121" s="113">
        <f t="shared" si="93"/>
        <v>0.69677395125248809</v>
      </c>
      <c r="AR121" s="113">
        <f t="shared" si="93"/>
        <v>0.7354910714285714</v>
      </c>
      <c r="AS121" s="113">
        <f t="shared" si="93"/>
        <v>0.72511053833741956</v>
      </c>
      <c r="AT121" s="113">
        <f t="shared" si="93"/>
        <v>0.78718130311614731</v>
      </c>
      <c r="AU121" s="113">
        <f t="shared" si="93"/>
        <v>0.80931172230129944</v>
      </c>
      <c r="AV121" s="113">
        <f t="shared" si="93"/>
        <v>0.84126333993219105</v>
      </c>
      <c r="AW121" s="113">
        <f t="shared" si="93"/>
        <v>0.88736447763415782</v>
      </c>
      <c r="AY121" s="111" t="s">
        <v>131</v>
      </c>
      <c r="AZ121" s="179">
        <f t="shared" si="88"/>
        <v>8.7075350381716668E-2</v>
      </c>
      <c r="BA121" s="179">
        <f t="shared" si="88"/>
        <v>7.5481385595194947E-2</v>
      </c>
      <c r="BB121" s="179">
        <f t="shared" si="88"/>
        <v>7.6645134637773685E-2</v>
      </c>
      <c r="BC121" s="179">
        <f t="shared" si="88"/>
        <v>6.0310267857142844E-2</v>
      </c>
      <c r="BD121" s="179">
        <f t="shared" si="88"/>
        <v>6.380972737369292E-2</v>
      </c>
      <c r="BE121" s="179">
        <f t="shared" si="88"/>
        <v>0.16845679886685552</v>
      </c>
      <c r="BF121" s="179">
        <f t="shared" si="88"/>
        <v>8.5787042563937738E-2</v>
      </c>
      <c r="BG121" s="179">
        <f t="shared" si="88"/>
        <v>4.7110747036202695E-2</v>
      </c>
      <c r="BH121" s="179">
        <f t="shared" si="88"/>
        <v>7.9862802987074211E-2</v>
      </c>
    </row>
    <row r="122" spans="2:68" s="87" customFormat="1" x14ac:dyDescent="0.25">
      <c r="B122" s="84"/>
      <c r="C122" s="85"/>
      <c r="D122" s="85"/>
      <c r="E122" s="109" t="s">
        <v>1</v>
      </c>
      <c r="F122" s="110" t="s">
        <v>60</v>
      </c>
      <c r="G122" s="195" t="s">
        <v>7</v>
      </c>
      <c r="H122" s="69">
        <v>74730</v>
      </c>
      <c r="I122" s="69">
        <v>71170</v>
      </c>
      <c r="J122" s="69">
        <v>65975</v>
      </c>
      <c r="K122" s="69">
        <v>61171</v>
      </c>
      <c r="L122" s="69">
        <v>60694</v>
      </c>
      <c r="M122" s="69">
        <v>60148</v>
      </c>
      <c r="N122" s="69">
        <v>60012</v>
      </c>
      <c r="O122" s="69">
        <v>54524</v>
      </c>
      <c r="P122" s="69">
        <v>58878</v>
      </c>
      <c r="R122" s="195" t="s">
        <v>7</v>
      </c>
      <c r="S122" s="226">
        <v>1.7</v>
      </c>
      <c r="T122" s="226">
        <v>1.8</v>
      </c>
      <c r="U122" s="226">
        <v>1.8</v>
      </c>
      <c r="V122" s="226">
        <v>1.8</v>
      </c>
      <c r="W122" s="226">
        <v>1.9</v>
      </c>
      <c r="X122" s="226">
        <v>2.1</v>
      </c>
      <c r="Y122" s="226">
        <v>2</v>
      </c>
      <c r="Z122" s="226">
        <v>2.2999999999999998</v>
      </c>
      <c r="AA122" s="226">
        <v>2.2000000000000002</v>
      </c>
      <c r="AB122" s="125"/>
      <c r="AC122" s="195" t="s">
        <v>7</v>
      </c>
      <c r="AD122" s="69">
        <f t="shared" si="90"/>
        <v>2540.8200000000002</v>
      </c>
      <c r="AE122" s="69">
        <f t="shared" si="86"/>
        <v>2562.12</v>
      </c>
      <c r="AF122" s="69">
        <f t="shared" si="86"/>
        <v>2375.1</v>
      </c>
      <c r="AG122" s="69">
        <f t="shared" si="86"/>
        <v>2202.1559999999999</v>
      </c>
      <c r="AH122" s="69">
        <f t="shared" si="86"/>
        <v>2306.3719999999998</v>
      </c>
      <c r="AI122" s="69">
        <f t="shared" si="86"/>
        <v>2526.2159999999999</v>
      </c>
      <c r="AJ122" s="69">
        <f t="shared" si="86"/>
        <v>2400.48</v>
      </c>
      <c r="AK122" s="69">
        <f t="shared" si="86"/>
        <v>2508.1039999999998</v>
      </c>
      <c r="AL122" s="69">
        <f t="shared" si="86"/>
        <v>2590.6320000000001</v>
      </c>
      <c r="AN122" s="195" t="s">
        <v>7</v>
      </c>
      <c r="AO122" s="98">
        <f t="shared" ref="AO122:AW122" si="94">H122/H122</f>
        <v>1</v>
      </c>
      <c r="AP122" s="98">
        <f t="shared" si="94"/>
        <v>1</v>
      </c>
      <c r="AQ122" s="98">
        <f t="shared" si="94"/>
        <v>1</v>
      </c>
      <c r="AR122" s="98">
        <f t="shared" si="94"/>
        <v>1</v>
      </c>
      <c r="AS122" s="98">
        <f t="shared" si="94"/>
        <v>1</v>
      </c>
      <c r="AT122" s="98">
        <f t="shared" si="94"/>
        <v>1</v>
      </c>
      <c r="AU122" s="98">
        <f t="shared" si="94"/>
        <v>1</v>
      </c>
      <c r="AV122" s="98">
        <f t="shared" si="94"/>
        <v>1</v>
      </c>
      <c r="AW122" s="98">
        <f t="shared" si="94"/>
        <v>1</v>
      </c>
      <c r="AX122" s="191"/>
      <c r="AY122" s="195" t="s">
        <v>7</v>
      </c>
      <c r="AZ122" s="178">
        <f t="shared" si="88"/>
        <v>3.4000000000000002E-2</v>
      </c>
      <c r="BA122" s="178">
        <f t="shared" si="88"/>
        <v>3.6000000000000004E-2</v>
      </c>
      <c r="BB122" s="178">
        <f t="shared" si="88"/>
        <v>3.6000000000000004E-2</v>
      </c>
      <c r="BC122" s="178">
        <f t="shared" si="88"/>
        <v>3.6000000000000004E-2</v>
      </c>
      <c r="BD122" s="178">
        <f t="shared" si="88"/>
        <v>3.7999999999999999E-2</v>
      </c>
      <c r="BE122" s="178">
        <f t="shared" si="88"/>
        <v>4.2000000000000003E-2</v>
      </c>
      <c r="BF122" s="178">
        <f t="shared" si="88"/>
        <v>0.04</v>
      </c>
      <c r="BG122" s="178">
        <f t="shared" si="88"/>
        <v>4.5999999999999999E-2</v>
      </c>
      <c r="BH122" s="178">
        <f t="shared" si="88"/>
        <v>4.4000000000000004E-2</v>
      </c>
      <c r="BI122" s="191"/>
      <c r="BJ122" s="191"/>
      <c r="BK122" s="191"/>
      <c r="BL122" s="191"/>
      <c r="BM122" s="191"/>
      <c r="BN122" s="191"/>
      <c r="BO122" s="191"/>
      <c r="BP122" s="191"/>
    </row>
    <row r="123" spans="2:68" s="108" customFormat="1" x14ac:dyDescent="0.25">
      <c r="B123" s="107"/>
      <c r="E123" s="109" t="s">
        <v>1</v>
      </c>
      <c r="F123" s="110" t="s">
        <v>60</v>
      </c>
      <c r="G123" s="111" t="s">
        <v>54</v>
      </c>
      <c r="H123" s="112">
        <v>29784</v>
      </c>
      <c r="I123" s="112">
        <v>24455</v>
      </c>
      <c r="J123" s="112">
        <v>21987</v>
      </c>
      <c r="K123" s="112">
        <v>19644</v>
      </c>
      <c r="L123" s="112">
        <v>19498</v>
      </c>
      <c r="M123" s="112">
        <v>19072</v>
      </c>
      <c r="N123" s="112">
        <v>15275</v>
      </c>
      <c r="O123" s="112">
        <v>13936</v>
      </c>
      <c r="P123" s="112">
        <v>14336</v>
      </c>
      <c r="R123" s="111" t="s">
        <v>54</v>
      </c>
      <c r="S123" s="220">
        <v>6.8</v>
      </c>
      <c r="T123" s="220">
        <v>8.6999999999999993</v>
      </c>
      <c r="U123" s="220">
        <v>8.4</v>
      </c>
      <c r="V123" s="220">
        <v>8.1999999999999993</v>
      </c>
      <c r="W123" s="220">
        <v>8.9</v>
      </c>
      <c r="X123" s="220">
        <v>9.9</v>
      </c>
      <c r="Y123" s="220">
        <v>10.5</v>
      </c>
      <c r="Z123" s="220">
        <v>12.6</v>
      </c>
      <c r="AA123" s="220">
        <v>12.4</v>
      </c>
      <c r="AB123" s="126"/>
      <c r="AC123" s="111" t="s">
        <v>54</v>
      </c>
      <c r="AD123" s="112">
        <f t="shared" si="90"/>
        <v>4050.6239999999998</v>
      </c>
      <c r="AE123" s="112">
        <f t="shared" si="86"/>
        <v>4255.1699999999992</v>
      </c>
      <c r="AF123" s="112">
        <f t="shared" si="86"/>
        <v>3693.8160000000003</v>
      </c>
      <c r="AG123" s="112">
        <f t="shared" si="86"/>
        <v>3221.616</v>
      </c>
      <c r="AH123" s="112">
        <f t="shared" si="86"/>
        <v>3470.6440000000002</v>
      </c>
      <c r="AI123" s="112">
        <f t="shared" si="86"/>
        <v>3776.2560000000003</v>
      </c>
      <c r="AJ123" s="112">
        <f t="shared" si="86"/>
        <v>3207.75</v>
      </c>
      <c r="AK123" s="112">
        <f t="shared" si="86"/>
        <v>3511.8720000000003</v>
      </c>
      <c r="AL123" s="112">
        <f t="shared" si="86"/>
        <v>3555.328</v>
      </c>
      <c r="AN123" s="111" t="s">
        <v>54</v>
      </c>
      <c r="AO123" s="113">
        <f t="shared" ref="AO123:AW123" si="95">H123/H122</f>
        <v>0.39855479727017262</v>
      </c>
      <c r="AP123" s="113">
        <f t="shared" si="95"/>
        <v>0.34361388225375861</v>
      </c>
      <c r="AQ123" s="113">
        <f t="shared" si="95"/>
        <v>0.33326259946949605</v>
      </c>
      <c r="AR123" s="113">
        <f t="shared" si="95"/>
        <v>0.32113256281571334</v>
      </c>
      <c r="AS123" s="113">
        <f t="shared" si="95"/>
        <v>0.32125086499489242</v>
      </c>
      <c r="AT123" s="113">
        <f t="shared" si="95"/>
        <v>0.31708452483873112</v>
      </c>
      <c r="AU123" s="113">
        <f t="shared" si="95"/>
        <v>0.25453242684796373</v>
      </c>
      <c r="AV123" s="113">
        <f t="shared" si="95"/>
        <v>0.2555938669209889</v>
      </c>
      <c r="AW123" s="113">
        <f t="shared" si="95"/>
        <v>0.24348653147185706</v>
      </c>
      <c r="AY123" s="111" t="s">
        <v>54</v>
      </c>
      <c r="AZ123" s="179">
        <f t="shared" si="88"/>
        <v>5.4203452428743477E-2</v>
      </c>
      <c r="BA123" s="179">
        <f t="shared" si="88"/>
        <v>5.9788815512153988E-2</v>
      </c>
      <c r="BB123" s="179">
        <f t="shared" si="88"/>
        <v>5.5988116710875335E-2</v>
      </c>
      <c r="BC123" s="179">
        <f t="shared" si="88"/>
        <v>5.2665740301776981E-2</v>
      </c>
      <c r="BD123" s="179">
        <f t="shared" si="88"/>
        <v>5.7182653969090849E-2</v>
      </c>
      <c r="BE123" s="179">
        <f t="shared" si="88"/>
        <v>6.2782735918068766E-2</v>
      </c>
      <c r="BF123" s="179">
        <f t="shared" si="88"/>
        <v>5.3451809638072383E-2</v>
      </c>
      <c r="BG123" s="179">
        <f t="shared" si="88"/>
        <v>6.4409654464089194E-2</v>
      </c>
      <c r="BH123" s="179">
        <f t="shared" si="88"/>
        <v>6.038465980502055E-2</v>
      </c>
    </row>
    <row r="124" spans="2:68" s="108" customFormat="1" x14ac:dyDescent="0.25">
      <c r="B124" s="107"/>
      <c r="E124" s="109" t="s">
        <v>1</v>
      </c>
      <c r="F124" s="110" t="s">
        <v>60</v>
      </c>
      <c r="G124" s="111" t="s">
        <v>55</v>
      </c>
      <c r="H124" s="70">
        <v>9561</v>
      </c>
      <c r="I124" s="70">
        <v>13431</v>
      </c>
      <c r="J124" s="70">
        <v>12265</v>
      </c>
      <c r="K124" s="70">
        <v>9243</v>
      </c>
      <c r="L124" s="70">
        <v>8013</v>
      </c>
      <c r="M124" s="70">
        <v>12721</v>
      </c>
      <c r="N124" s="70">
        <v>7199</v>
      </c>
      <c r="O124" s="112">
        <v>6641</v>
      </c>
      <c r="P124" s="112">
        <v>7502</v>
      </c>
      <c r="R124" s="111" t="s">
        <v>55</v>
      </c>
      <c r="S124" s="81">
        <v>13.9</v>
      </c>
      <c r="T124" s="81">
        <v>12.5</v>
      </c>
      <c r="U124" s="81">
        <v>12.3</v>
      </c>
      <c r="V124" s="81">
        <v>13.6</v>
      </c>
      <c r="W124" s="81">
        <v>18</v>
      </c>
      <c r="X124" s="81">
        <v>13.3</v>
      </c>
      <c r="Y124" s="81">
        <v>17.399999999999999</v>
      </c>
      <c r="Z124" s="81">
        <v>22.3</v>
      </c>
      <c r="AA124" s="81">
        <v>17.5</v>
      </c>
      <c r="AB124" s="126"/>
      <c r="AC124" s="111" t="s">
        <v>55</v>
      </c>
      <c r="AD124" s="70">
        <f t="shared" si="90"/>
        <v>2657.9580000000001</v>
      </c>
      <c r="AE124" s="70">
        <f t="shared" si="86"/>
        <v>3357.75</v>
      </c>
      <c r="AF124" s="70">
        <f t="shared" si="86"/>
        <v>3017.19</v>
      </c>
      <c r="AG124" s="70">
        <f t="shared" si="86"/>
        <v>2514.096</v>
      </c>
      <c r="AH124" s="70">
        <f t="shared" si="86"/>
        <v>2884.68</v>
      </c>
      <c r="AI124" s="70">
        <f t="shared" si="86"/>
        <v>3383.7860000000005</v>
      </c>
      <c r="AJ124" s="70">
        <f t="shared" si="86"/>
        <v>2505.252</v>
      </c>
      <c r="AK124" s="70">
        <f t="shared" si="86"/>
        <v>2961.8860000000004</v>
      </c>
      <c r="AL124" s="70">
        <f t="shared" si="86"/>
        <v>2625.7</v>
      </c>
      <c r="AN124" s="111" t="s">
        <v>55</v>
      </c>
      <c r="AO124" s="113">
        <f t="shared" ref="AO124:AW124" si="96">H124/H122</f>
        <v>0.12794058610999598</v>
      </c>
      <c r="AP124" s="113">
        <f t="shared" si="96"/>
        <v>0.18871715610510045</v>
      </c>
      <c r="AQ124" s="113">
        <f t="shared" si="96"/>
        <v>0.1859037514209928</v>
      </c>
      <c r="AR124" s="113">
        <f t="shared" si="96"/>
        <v>0.15110101191741185</v>
      </c>
      <c r="AS124" s="113">
        <f t="shared" si="96"/>
        <v>0.13202293472171878</v>
      </c>
      <c r="AT124" s="113">
        <f t="shared" si="96"/>
        <v>0.21149497905167255</v>
      </c>
      <c r="AU124" s="113">
        <f t="shared" si="96"/>
        <v>0.11995934146504032</v>
      </c>
      <c r="AV124" s="113">
        <f t="shared" si="96"/>
        <v>0.12179957449930306</v>
      </c>
      <c r="AW124" s="113">
        <f t="shared" si="96"/>
        <v>0.12741601277217296</v>
      </c>
      <c r="AY124" s="111" t="s">
        <v>55</v>
      </c>
      <c r="AZ124" s="179">
        <f t="shared" si="88"/>
        <v>3.5567482938578886E-2</v>
      </c>
      <c r="BA124" s="179">
        <f t="shared" si="88"/>
        <v>4.7179289026275113E-2</v>
      </c>
      <c r="BB124" s="179">
        <f t="shared" si="88"/>
        <v>4.573232284956423E-2</v>
      </c>
      <c r="BC124" s="179">
        <f t="shared" si="88"/>
        <v>4.1099475241536024E-2</v>
      </c>
      <c r="BD124" s="179">
        <f t="shared" si="88"/>
        <v>4.7528256499818761E-2</v>
      </c>
      <c r="BE124" s="179">
        <f t="shared" si="88"/>
        <v>5.6257664427744908E-2</v>
      </c>
      <c r="BF124" s="179">
        <f t="shared" si="88"/>
        <v>4.1745850829834029E-2</v>
      </c>
      <c r="BG124" s="179">
        <f t="shared" si="88"/>
        <v>5.4322610226689168E-2</v>
      </c>
      <c r="BH124" s="179">
        <f t="shared" si="88"/>
        <v>4.4595604470260536E-2</v>
      </c>
    </row>
    <row r="125" spans="2:68" s="108" customFormat="1" x14ac:dyDescent="0.25">
      <c r="B125" s="107"/>
      <c r="E125" s="109" t="s">
        <v>1</v>
      </c>
      <c r="F125" s="110" t="s">
        <v>60</v>
      </c>
      <c r="G125" s="111" t="s">
        <v>130</v>
      </c>
      <c r="H125" s="70">
        <v>11739</v>
      </c>
      <c r="I125" s="70">
        <v>10196</v>
      </c>
      <c r="J125" s="70">
        <v>11494</v>
      </c>
      <c r="K125" s="70">
        <v>9997</v>
      </c>
      <c r="L125" s="70">
        <v>10557</v>
      </c>
      <c r="M125" s="70">
        <v>7190</v>
      </c>
      <c r="N125" s="70">
        <v>8202</v>
      </c>
      <c r="O125" s="112">
        <v>8528</v>
      </c>
      <c r="P125" s="112">
        <v>7646</v>
      </c>
      <c r="R125" s="111" t="s">
        <v>130</v>
      </c>
      <c r="S125" s="220">
        <v>12.3</v>
      </c>
      <c r="T125" s="220">
        <v>14.7</v>
      </c>
      <c r="U125" s="220">
        <v>13.9</v>
      </c>
      <c r="V125" s="220">
        <v>13.6</v>
      </c>
      <c r="W125" s="220">
        <v>15.6</v>
      </c>
      <c r="X125" s="220">
        <v>18.5</v>
      </c>
      <c r="Y125" s="220">
        <v>16.3</v>
      </c>
      <c r="Z125" s="220">
        <v>18.8</v>
      </c>
      <c r="AA125" s="220">
        <v>17.5</v>
      </c>
      <c r="AB125" s="126"/>
      <c r="AC125" s="111" t="s">
        <v>130</v>
      </c>
      <c r="AD125" s="70">
        <f t="shared" si="90"/>
        <v>2887.7940000000003</v>
      </c>
      <c r="AE125" s="70">
        <f t="shared" si="86"/>
        <v>2997.6239999999998</v>
      </c>
      <c r="AF125" s="70">
        <f t="shared" si="86"/>
        <v>3195.3320000000003</v>
      </c>
      <c r="AG125" s="70">
        <f t="shared" si="86"/>
        <v>2719.1839999999997</v>
      </c>
      <c r="AH125" s="70">
        <f t="shared" si="86"/>
        <v>3293.7839999999997</v>
      </c>
      <c r="AI125" s="70">
        <f t="shared" si="86"/>
        <v>2660.3</v>
      </c>
      <c r="AJ125" s="70">
        <f t="shared" si="86"/>
        <v>2673.8520000000003</v>
      </c>
      <c r="AK125" s="70">
        <f t="shared" si="86"/>
        <v>3206.5279999999998</v>
      </c>
      <c r="AL125" s="70">
        <f t="shared" si="86"/>
        <v>2676.1</v>
      </c>
      <c r="AN125" s="111" t="s">
        <v>130</v>
      </c>
      <c r="AO125" s="113">
        <f t="shared" ref="AO125:AW125" si="97">H125/H122</f>
        <v>0.15708550782818145</v>
      </c>
      <c r="AP125" s="113">
        <f t="shared" si="97"/>
        <v>0.14326261065055501</v>
      </c>
      <c r="AQ125" s="113">
        <f t="shared" si="97"/>
        <v>0.17421750663129973</v>
      </c>
      <c r="AR125" s="113">
        <f t="shared" si="97"/>
        <v>0.16342711415540043</v>
      </c>
      <c r="AS125" s="113">
        <f t="shared" si="97"/>
        <v>0.17393811579398294</v>
      </c>
      <c r="AT125" s="113">
        <f t="shared" si="97"/>
        <v>0.1195384717696349</v>
      </c>
      <c r="AU125" s="113">
        <f t="shared" si="97"/>
        <v>0.13667266546690662</v>
      </c>
      <c r="AV125" s="113">
        <f t="shared" si="97"/>
        <v>0.15640818722030667</v>
      </c>
      <c r="AW125" s="113">
        <f t="shared" si="97"/>
        <v>0.12986174802133224</v>
      </c>
      <c r="AY125" s="111" t="s">
        <v>130</v>
      </c>
      <c r="AZ125" s="179">
        <f t="shared" si="88"/>
        <v>3.8643034925732643E-2</v>
      </c>
      <c r="BA125" s="179">
        <f t="shared" si="88"/>
        <v>4.2119207531263171E-2</v>
      </c>
      <c r="BB125" s="179">
        <f t="shared" si="88"/>
        <v>4.8432466843501325E-2</v>
      </c>
      <c r="BC125" s="179">
        <f t="shared" si="88"/>
        <v>4.4452175050268918E-2</v>
      </c>
      <c r="BD125" s="179">
        <f t="shared" si="88"/>
        <v>5.4268692127722673E-2</v>
      </c>
      <c r="BE125" s="179">
        <f t="shared" si="88"/>
        <v>4.4229234554764914E-2</v>
      </c>
      <c r="BF125" s="179">
        <f t="shared" si="88"/>
        <v>4.4555288942211557E-2</v>
      </c>
      <c r="BG125" s="179">
        <f t="shared" si="88"/>
        <v>5.8809478394835309E-2</v>
      </c>
      <c r="BH125" s="179">
        <f t="shared" si="88"/>
        <v>4.5451611807466284E-2</v>
      </c>
    </row>
    <row r="126" spans="2:68" s="108" customFormat="1" x14ac:dyDescent="0.25">
      <c r="B126" s="107"/>
      <c r="E126" s="109" t="s">
        <v>1</v>
      </c>
      <c r="F126" s="110" t="s">
        <v>60</v>
      </c>
      <c r="G126" s="111" t="s">
        <v>131</v>
      </c>
      <c r="H126" s="112">
        <v>23646</v>
      </c>
      <c r="I126" s="112">
        <v>23088</v>
      </c>
      <c r="J126" s="112">
        <v>20229</v>
      </c>
      <c r="K126" s="112">
        <v>22287</v>
      </c>
      <c r="L126" s="112">
        <v>22626</v>
      </c>
      <c r="M126" s="112">
        <v>21164</v>
      </c>
      <c r="N126" s="112">
        <v>29336</v>
      </c>
      <c r="O126" s="112">
        <v>25419</v>
      </c>
      <c r="P126" s="112">
        <v>29394</v>
      </c>
      <c r="R126" s="111" t="s">
        <v>131</v>
      </c>
      <c r="S126" s="220">
        <v>7.9</v>
      </c>
      <c r="T126" s="220">
        <v>8.5</v>
      </c>
      <c r="U126" s="220">
        <v>8.6999999999999993</v>
      </c>
      <c r="V126" s="220">
        <v>7.6</v>
      </c>
      <c r="W126" s="220">
        <v>8.5</v>
      </c>
      <c r="X126" s="220">
        <v>9.1</v>
      </c>
      <c r="Y126" s="220">
        <v>7.5</v>
      </c>
      <c r="Z126" s="220">
        <v>8.1</v>
      </c>
      <c r="AA126" s="220">
        <v>6.7</v>
      </c>
      <c r="AB126" s="126"/>
      <c r="AC126" s="111" t="s">
        <v>131</v>
      </c>
      <c r="AD126" s="112">
        <f t="shared" si="90"/>
        <v>3736.0679999999998</v>
      </c>
      <c r="AE126" s="112">
        <f t="shared" si="86"/>
        <v>3924.96</v>
      </c>
      <c r="AF126" s="112">
        <f t="shared" si="86"/>
        <v>3519.8459999999995</v>
      </c>
      <c r="AG126" s="112">
        <f t="shared" si="86"/>
        <v>3387.6239999999998</v>
      </c>
      <c r="AH126" s="112">
        <f t="shared" si="86"/>
        <v>3846.42</v>
      </c>
      <c r="AI126" s="112">
        <f t="shared" si="86"/>
        <v>3851.848</v>
      </c>
      <c r="AJ126" s="112">
        <f t="shared" si="86"/>
        <v>4400.3999999999996</v>
      </c>
      <c r="AK126" s="112">
        <f t="shared" si="86"/>
        <v>4117.8779999999997</v>
      </c>
      <c r="AL126" s="112">
        <f t="shared" si="86"/>
        <v>3938.7960000000003</v>
      </c>
      <c r="AN126" s="111" t="s">
        <v>131</v>
      </c>
      <c r="AO126" s="113">
        <f t="shared" ref="AO126:AW126" si="98">H126/H122</f>
        <v>0.31641910879164992</v>
      </c>
      <c r="AP126" s="113">
        <f t="shared" si="98"/>
        <v>0.3244063509905859</v>
      </c>
      <c r="AQ126" s="113">
        <f t="shared" si="98"/>
        <v>0.30661614247821145</v>
      </c>
      <c r="AR126" s="113">
        <f t="shared" si="98"/>
        <v>0.36433931111147438</v>
      </c>
      <c r="AS126" s="113">
        <f t="shared" si="98"/>
        <v>0.37278808448940587</v>
      </c>
      <c r="AT126" s="113">
        <f t="shared" si="98"/>
        <v>0.35186539868324801</v>
      </c>
      <c r="AU126" s="113">
        <f t="shared" si="98"/>
        <v>0.48883556622008933</v>
      </c>
      <c r="AV126" s="113">
        <f t="shared" si="98"/>
        <v>0.46619837135940134</v>
      </c>
      <c r="AW126" s="113">
        <f t="shared" si="98"/>
        <v>0.49923570773463771</v>
      </c>
      <c r="AY126" s="111" t="s">
        <v>131</v>
      </c>
      <c r="AZ126" s="179">
        <f t="shared" si="88"/>
        <v>4.9994219189080688E-2</v>
      </c>
      <c r="BA126" s="179">
        <f t="shared" si="88"/>
        <v>5.5149079668399603E-2</v>
      </c>
      <c r="BB126" s="179">
        <f t="shared" si="88"/>
        <v>5.335120879120879E-2</v>
      </c>
      <c r="BC126" s="179">
        <f t="shared" si="88"/>
        <v>5.5379575288944105E-2</v>
      </c>
      <c r="BD126" s="179">
        <f t="shared" si="88"/>
        <v>6.3373974363198998E-2</v>
      </c>
      <c r="BE126" s="179">
        <f t="shared" si="88"/>
        <v>6.4039502560351125E-2</v>
      </c>
      <c r="BF126" s="179">
        <f t="shared" si="88"/>
        <v>7.3325334933013395E-2</v>
      </c>
      <c r="BG126" s="179">
        <f t="shared" si="88"/>
        <v>7.5524136160223007E-2</v>
      </c>
      <c r="BH126" s="179">
        <f t="shared" si="88"/>
        <v>6.6897584836441454E-2</v>
      </c>
    </row>
    <row r="127" spans="2:68" s="87" customFormat="1" x14ac:dyDescent="0.25">
      <c r="B127" s="84"/>
      <c r="C127" s="85"/>
      <c r="D127" s="85"/>
      <c r="E127" s="109" t="s">
        <v>2</v>
      </c>
      <c r="F127" s="110" t="s">
        <v>60</v>
      </c>
      <c r="G127" s="195" t="s">
        <v>7</v>
      </c>
      <c r="H127" s="69">
        <v>127529</v>
      </c>
      <c r="I127" s="69">
        <v>122607</v>
      </c>
      <c r="J127" s="69">
        <v>114585</v>
      </c>
      <c r="K127" s="69">
        <v>106455</v>
      </c>
      <c r="L127" s="69">
        <v>102308</v>
      </c>
      <c r="M127" s="69">
        <v>96535</v>
      </c>
      <c r="N127" s="69">
        <v>96805</v>
      </c>
      <c r="O127" s="69">
        <v>98995</v>
      </c>
      <c r="P127" s="69">
        <v>98283</v>
      </c>
      <c r="R127" s="195" t="s">
        <v>7</v>
      </c>
      <c r="S127" s="226">
        <v>1.2</v>
      </c>
      <c r="T127" s="226">
        <v>1.5</v>
      </c>
      <c r="U127" s="226">
        <v>1.5</v>
      </c>
      <c r="V127" s="226">
        <v>1.4</v>
      </c>
      <c r="W127" s="226">
        <v>1.5</v>
      </c>
      <c r="X127" s="226">
        <v>1.7</v>
      </c>
      <c r="Y127" s="226">
        <v>1.6</v>
      </c>
      <c r="Z127" s="226">
        <v>1.7</v>
      </c>
      <c r="AA127" s="226">
        <v>1.7</v>
      </c>
      <c r="AB127" s="125"/>
      <c r="AC127" s="195" t="s">
        <v>7</v>
      </c>
      <c r="AD127" s="69">
        <f t="shared" si="90"/>
        <v>3060.6959999999999</v>
      </c>
      <c r="AE127" s="69">
        <f t="shared" si="86"/>
        <v>3678.21</v>
      </c>
      <c r="AF127" s="69">
        <f t="shared" si="86"/>
        <v>3437.55</v>
      </c>
      <c r="AG127" s="69">
        <f t="shared" si="86"/>
        <v>2980.74</v>
      </c>
      <c r="AH127" s="69">
        <f t="shared" si="86"/>
        <v>3069.24</v>
      </c>
      <c r="AI127" s="69">
        <f t="shared" si="86"/>
        <v>3282.19</v>
      </c>
      <c r="AJ127" s="69">
        <f t="shared" si="86"/>
        <v>3097.76</v>
      </c>
      <c r="AK127" s="69">
        <f t="shared" si="86"/>
        <v>3365.83</v>
      </c>
      <c r="AL127" s="69">
        <f t="shared" si="86"/>
        <v>3341.6220000000003</v>
      </c>
      <c r="AN127" s="195" t="s">
        <v>7</v>
      </c>
      <c r="AO127" s="98">
        <f t="shared" ref="AO127:AW127" si="99">H127/H127</f>
        <v>1</v>
      </c>
      <c r="AP127" s="98">
        <f t="shared" si="99"/>
        <v>1</v>
      </c>
      <c r="AQ127" s="98">
        <f t="shared" si="99"/>
        <v>1</v>
      </c>
      <c r="AR127" s="98">
        <f t="shared" si="99"/>
        <v>1</v>
      </c>
      <c r="AS127" s="98">
        <f t="shared" si="99"/>
        <v>1</v>
      </c>
      <c r="AT127" s="98">
        <f t="shared" si="99"/>
        <v>1</v>
      </c>
      <c r="AU127" s="98">
        <f t="shared" si="99"/>
        <v>1</v>
      </c>
      <c r="AV127" s="98">
        <f t="shared" si="99"/>
        <v>1</v>
      </c>
      <c r="AW127" s="98">
        <f t="shared" si="99"/>
        <v>1</v>
      </c>
      <c r="AX127" s="191"/>
      <c r="AY127" s="195" t="s">
        <v>7</v>
      </c>
      <c r="AZ127" s="178">
        <f t="shared" si="88"/>
        <v>2.4E-2</v>
      </c>
      <c r="BA127" s="178">
        <f t="shared" si="88"/>
        <v>0.03</v>
      </c>
      <c r="BB127" s="178">
        <f t="shared" si="88"/>
        <v>0.03</v>
      </c>
      <c r="BC127" s="178">
        <f t="shared" si="88"/>
        <v>2.7999999999999997E-2</v>
      </c>
      <c r="BD127" s="178">
        <f t="shared" si="88"/>
        <v>0.03</v>
      </c>
      <c r="BE127" s="178">
        <f t="shared" si="88"/>
        <v>3.4000000000000002E-2</v>
      </c>
      <c r="BF127" s="178">
        <f t="shared" si="88"/>
        <v>3.2000000000000001E-2</v>
      </c>
      <c r="BG127" s="178">
        <f t="shared" si="88"/>
        <v>3.4000000000000002E-2</v>
      </c>
      <c r="BH127" s="178">
        <f t="shared" si="88"/>
        <v>3.4000000000000002E-2</v>
      </c>
      <c r="BI127" s="191"/>
      <c r="BJ127" s="191"/>
      <c r="BK127" s="191"/>
      <c r="BL127" s="191"/>
      <c r="BM127" s="191"/>
      <c r="BN127" s="191"/>
      <c r="BO127" s="191"/>
      <c r="BP127" s="191"/>
    </row>
    <row r="128" spans="2:68" s="108" customFormat="1" x14ac:dyDescent="0.25">
      <c r="B128" s="107"/>
      <c r="E128" s="109" t="s">
        <v>2</v>
      </c>
      <c r="F128" s="110" t="s">
        <v>60</v>
      </c>
      <c r="G128" s="111" t="s">
        <v>54</v>
      </c>
      <c r="H128" s="112">
        <v>49930</v>
      </c>
      <c r="I128" s="112">
        <v>36268</v>
      </c>
      <c r="J128" s="112">
        <v>33757</v>
      </c>
      <c r="K128" s="112">
        <v>34610</v>
      </c>
      <c r="L128" s="112">
        <v>29500</v>
      </c>
      <c r="M128" s="112">
        <v>31667</v>
      </c>
      <c r="N128" s="112">
        <v>25497</v>
      </c>
      <c r="O128" s="112">
        <v>28972</v>
      </c>
      <c r="P128" s="112">
        <v>28982</v>
      </c>
      <c r="R128" s="111" t="s">
        <v>54</v>
      </c>
      <c r="S128" s="220">
        <v>5.2</v>
      </c>
      <c r="T128" s="220">
        <v>7.5</v>
      </c>
      <c r="U128" s="220">
        <v>7.1</v>
      </c>
      <c r="V128" s="220">
        <v>6.7</v>
      </c>
      <c r="W128" s="220">
        <v>9</v>
      </c>
      <c r="X128" s="220">
        <v>7.9</v>
      </c>
      <c r="Y128" s="220">
        <v>7.7</v>
      </c>
      <c r="Z128" s="220">
        <v>9.1</v>
      </c>
      <c r="AA128" s="220">
        <v>8.1999999999999993</v>
      </c>
      <c r="AB128" s="126"/>
      <c r="AC128" s="111" t="s">
        <v>54</v>
      </c>
      <c r="AD128" s="112">
        <f t="shared" si="90"/>
        <v>5192.72</v>
      </c>
      <c r="AE128" s="112">
        <f t="shared" si="86"/>
        <v>5440.2</v>
      </c>
      <c r="AF128" s="112">
        <f t="shared" si="86"/>
        <v>4793.4939999999997</v>
      </c>
      <c r="AG128" s="112">
        <f t="shared" si="86"/>
        <v>4637.74</v>
      </c>
      <c r="AH128" s="112">
        <f t="shared" si="86"/>
        <v>5310</v>
      </c>
      <c r="AI128" s="112">
        <f t="shared" si="86"/>
        <v>5003.3860000000004</v>
      </c>
      <c r="AJ128" s="112">
        <f t="shared" si="86"/>
        <v>3926.538</v>
      </c>
      <c r="AK128" s="112">
        <f t="shared" si="86"/>
        <v>5272.9040000000005</v>
      </c>
      <c r="AL128" s="112">
        <f t="shared" si="86"/>
        <v>4753.0479999999989</v>
      </c>
      <c r="AN128" s="111" t="s">
        <v>54</v>
      </c>
      <c r="AO128" s="113">
        <f t="shared" ref="AO128:AW128" si="100">H128/H127</f>
        <v>0.39151879180421706</v>
      </c>
      <c r="AP128" s="113">
        <f t="shared" si="100"/>
        <v>0.2958069278263068</v>
      </c>
      <c r="AQ128" s="113">
        <f t="shared" si="100"/>
        <v>0.29460226033075881</v>
      </c>
      <c r="AR128" s="113">
        <f t="shared" si="100"/>
        <v>0.32511389789112771</v>
      </c>
      <c r="AS128" s="113">
        <f t="shared" si="100"/>
        <v>0.28834499745865427</v>
      </c>
      <c r="AT128" s="113">
        <f t="shared" si="100"/>
        <v>0.32803646345884913</v>
      </c>
      <c r="AU128" s="113">
        <f t="shared" si="100"/>
        <v>0.26338515572542742</v>
      </c>
      <c r="AV128" s="113">
        <f t="shared" si="100"/>
        <v>0.29266124551745037</v>
      </c>
      <c r="AW128" s="113">
        <f t="shared" si="100"/>
        <v>0.29488314357518597</v>
      </c>
      <c r="AY128" s="111" t="s">
        <v>54</v>
      </c>
      <c r="AZ128" s="179">
        <f t="shared" si="88"/>
        <v>4.0717954347638578E-2</v>
      </c>
      <c r="BA128" s="179">
        <f t="shared" si="88"/>
        <v>4.4371039173946018E-2</v>
      </c>
      <c r="BB128" s="179">
        <f t="shared" si="88"/>
        <v>4.1833520966967755E-2</v>
      </c>
      <c r="BC128" s="179">
        <f t="shared" si="88"/>
        <v>4.3565262317411112E-2</v>
      </c>
      <c r="BD128" s="179">
        <f t="shared" si="88"/>
        <v>5.190209954255777E-2</v>
      </c>
      <c r="BE128" s="179">
        <f t="shared" si="88"/>
        <v>5.1829761226498162E-2</v>
      </c>
      <c r="BF128" s="179">
        <f t="shared" si="88"/>
        <v>4.0561313981715828E-2</v>
      </c>
      <c r="BG128" s="179">
        <f t="shared" si="88"/>
        <v>5.326434668417597E-2</v>
      </c>
      <c r="BH128" s="179">
        <f t="shared" si="88"/>
        <v>4.8360835546330493E-2</v>
      </c>
    </row>
    <row r="129" spans="2:68" s="108" customFormat="1" x14ac:dyDescent="0.25">
      <c r="B129" s="107"/>
      <c r="E129" s="109" t="s">
        <v>2</v>
      </c>
      <c r="F129" s="110" t="s">
        <v>60</v>
      </c>
      <c r="G129" s="111" t="s">
        <v>55</v>
      </c>
      <c r="H129" s="70">
        <v>32202</v>
      </c>
      <c r="I129" s="70">
        <v>34618</v>
      </c>
      <c r="J129" s="70">
        <v>34862</v>
      </c>
      <c r="K129" s="70">
        <v>29754</v>
      </c>
      <c r="L129" s="70">
        <v>24806</v>
      </c>
      <c r="M129" s="70">
        <v>25043</v>
      </c>
      <c r="N129" s="70">
        <v>27268</v>
      </c>
      <c r="O129" s="112">
        <v>21289</v>
      </c>
      <c r="P129" s="112">
        <v>23142</v>
      </c>
      <c r="R129" s="111" t="s">
        <v>55</v>
      </c>
      <c r="S129" s="81">
        <v>7</v>
      </c>
      <c r="T129" s="81">
        <v>7.7</v>
      </c>
      <c r="U129" s="81">
        <v>7.1</v>
      </c>
      <c r="V129" s="81">
        <v>7.6</v>
      </c>
      <c r="W129" s="81">
        <v>9.8000000000000007</v>
      </c>
      <c r="X129" s="81">
        <v>8.9</v>
      </c>
      <c r="Y129" s="81">
        <v>8.4</v>
      </c>
      <c r="Z129" s="81">
        <v>10.5</v>
      </c>
      <c r="AA129" s="81">
        <v>9.5</v>
      </c>
      <c r="AB129" s="126"/>
      <c r="AC129" s="111" t="s">
        <v>55</v>
      </c>
      <c r="AD129" s="70">
        <f t="shared" si="90"/>
        <v>4508.28</v>
      </c>
      <c r="AE129" s="70">
        <f t="shared" si="86"/>
        <v>5331.1720000000005</v>
      </c>
      <c r="AF129" s="70">
        <f t="shared" si="86"/>
        <v>4950.4039999999995</v>
      </c>
      <c r="AG129" s="70">
        <f t="shared" si="86"/>
        <v>4522.6080000000002</v>
      </c>
      <c r="AH129" s="70">
        <f t="shared" si="86"/>
        <v>4861.9760000000006</v>
      </c>
      <c r="AI129" s="70">
        <f t="shared" si="86"/>
        <v>4457.6540000000005</v>
      </c>
      <c r="AJ129" s="70">
        <f t="shared" si="86"/>
        <v>4581.0240000000003</v>
      </c>
      <c r="AK129" s="70">
        <f t="shared" si="86"/>
        <v>4470.6899999999996</v>
      </c>
      <c r="AL129" s="70">
        <f t="shared" si="86"/>
        <v>4396.9799999999996</v>
      </c>
      <c r="AN129" s="111" t="s">
        <v>55</v>
      </c>
      <c r="AO129" s="113">
        <f t="shared" ref="AO129:AW129" si="101">H129/H127</f>
        <v>0.25250727285558577</v>
      </c>
      <c r="AP129" s="113">
        <f t="shared" si="101"/>
        <v>0.28234929490159616</v>
      </c>
      <c r="AQ129" s="113">
        <f t="shared" si="101"/>
        <v>0.30424575642536106</v>
      </c>
      <c r="AR129" s="113">
        <f t="shared" si="101"/>
        <v>0.27949837959701285</v>
      </c>
      <c r="AS129" s="113">
        <f t="shared" si="101"/>
        <v>0.24246393243930092</v>
      </c>
      <c r="AT129" s="113">
        <f t="shared" si="101"/>
        <v>0.2594188636245921</v>
      </c>
      <c r="AU129" s="113">
        <f t="shared" si="101"/>
        <v>0.28167966530654409</v>
      </c>
      <c r="AV129" s="113">
        <f t="shared" si="101"/>
        <v>0.21505126521541493</v>
      </c>
      <c r="AW129" s="113">
        <f t="shared" si="101"/>
        <v>0.23546289795793779</v>
      </c>
      <c r="AY129" s="111" t="s">
        <v>55</v>
      </c>
      <c r="AZ129" s="179">
        <f t="shared" si="88"/>
        <v>3.5351018199782008E-2</v>
      </c>
      <c r="BA129" s="179">
        <f t="shared" si="88"/>
        <v>4.3481791414845816E-2</v>
      </c>
      <c r="BB129" s="179">
        <f t="shared" si="88"/>
        <v>4.320289741240127E-2</v>
      </c>
      <c r="BC129" s="179">
        <f t="shared" si="88"/>
        <v>4.2483753698745949E-2</v>
      </c>
      <c r="BD129" s="179">
        <f t="shared" si="88"/>
        <v>4.7522930758102981E-2</v>
      </c>
      <c r="BE129" s="179">
        <f t="shared" si="88"/>
        <v>4.6176557725177397E-2</v>
      </c>
      <c r="BF129" s="179">
        <f t="shared" si="88"/>
        <v>4.732218377149941E-2</v>
      </c>
      <c r="BG129" s="179">
        <f t="shared" si="88"/>
        <v>4.5160765695237137E-2</v>
      </c>
      <c r="BH129" s="179">
        <f t="shared" si="88"/>
        <v>4.4737950612008179E-2</v>
      </c>
    </row>
    <row r="130" spans="2:68" s="108" customFormat="1" x14ac:dyDescent="0.25">
      <c r="B130" s="107"/>
      <c r="E130" s="109" t="s">
        <v>2</v>
      </c>
      <c r="F130" s="110" t="s">
        <v>60</v>
      </c>
      <c r="G130" s="111" t="s">
        <v>130</v>
      </c>
      <c r="H130" s="70">
        <v>13531</v>
      </c>
      <c r="I130" s="70">
        <v>20989</v>
      </c>
      <c r="J130" s="70">
        <v>15670</v>
      </c>
      <c r="K130" s="70">
        <v>14956</v>
      </c>
      <c r="L130" s="70">
        <v>16046</v>
      </c>
      <c r="M130" s="70">
        <v>14925</v>
      </c>
      <c r="N130" s="70">
        <v>15364</v>
      </c>
      <c r="O130" s="112">
        <v>13596</v>
      </c>
      <c r="P130" s="112">
        <v>11975</v>
      </c>
      <c r="R130" s="111" t="s">
        <v>130</v>
      </c>
      <c r="S130" s="220">
        <v>11.6</v>
      </c>
      <c r="T130" s="220">
        <v>10.1</v>
      </c>
      <c r="U130" s="220">
        <v>11.3</v>
      </c>
      <c r="V130" s="220">
        <v>11.2</v>
      </c>
      <c r="W130" s="220">
        <v>12.4</v>
      </c>
      <c r="X130" s="220">
        <v>12.7</v>
      </c>
      <c r="Y130" s="220">
        <v>11.6</v>
      </c>
      <c r="Z130" s="220">
        <v>13.8</v>
      </c>
      <c r="AA130" s="220">
        <v>14.9</v>
      </c>
      <c r="AB130" s="126"/>
      <c r="AC130" s="111" t="s">
        <v>130</v>
      </c>
      <c r="AD130" s="70">
        <f t="shared" si="90"/>
        <v>3139.192</v>
      </c>
      <c r="AE130" s="70">
        <f t="shared" si="86"/>
        <v>4239.7780000000002</v>
      </c>
      <c r="AF130" s="70">
        <f t="shared" si="86"/>
        <v>3541.42</v>
      </c>
      <c r="AG130" s="70">
        <f t="shared" si="86"/>
        <v>3350.1439999999998</v>
      </c>
      <c r="AH130" s="70">
        <f t="shared" si="86"/>
        <v>3979.4079999999999</v>
      </c>
      <c r="AI130" s="70">
        <f t="shared" si="86"/>
        <v>3790.95</v>
      </c>
      <c r="AJ130" s="70">
        <f t="shared" si="86"/>
        <v>3564.4479999999999</v>
      </c>
      <c r="AK130" s="70">
        <f t="shared" si="86"/>
        <v>3752.4960000000005</v>
      </c>
      <c r="AL130" s="70">
        <f t="shared" si="86"/>
        <v>3568.55</v>
      </c>
      <c r="AN130" s="111" t="s">
        <v>130</v>
      </c>
      <c r="AO130" s="113">
        <f t="shared" ref="AO130:AW130" si="102">H130/H127</f>
        <v>0.10610135733833088</v>
      </c>
      <c r="AP130" s="113">
        <f t="shared" si="102"/>
        <v>0.17118924694348608</v>
      </c>
      <c r="AQ130" s="113">
        <f t="shared" si="102"/>
        <v>0.13675437448182573</v>
      </c>
      <c r="AR130" s="113">
        <f t="shared" si="102"/>
        <v>0.14049128739843125</v>
      </c>
      <c r="AS130" s="113">
        <f t="shared" si="102"/>
        <v>0.1568401298041209</v>
      </c>
      <c r="AT130" s="113">
        <f t="shared" si="102"/>
        <v>0.15460713730771222</v>
      </c>
      <c r="AU130" s="113">
        <f t="shared" si="102"/>
        <v>0.1587108103920252</v>
      </c>
      <c r="AV130" s="113">
        <f t="shared" si="102"/>
        <v>0.13734026971059143</v>
      </c>
      <c r="AW130" s="113">
        <f t="shared" si="102"/>
        <v>0.12184202761413469</v>
      </c>
      <c r="AY130" s="111" t="s">
        <v>130</v>
      </c>
      <c r="AZ130" s="179">
        <f t="shared" si="88"/>
        <v>2.4615514902492763E-2</v>
      </c>
      <c r="BA130" s="179">
        <f t="shared" si="88"/>
        <v>3.4580227882584184E-2</v>
      </c>
      <c r="BB130" s="179">
        <f t="shared" si="88"/>
        <v>3.0906488632892616E-2</v>
      </c>
      <c r="BC130" s="179">
        <f t="shared" si="88"/>
        <v>3.1470048377248601E-2</v>
      </c>
      <c r="BD130" s="179">
        <f t="shared" si="88"/>
        <v>3.8896352191421985E-2</v>
      </c>
      <c r="BE130" s="179">
        <f t="shared" si="88"/>
        <v>3.9270212876158901E-2</v>
      </c>
      <c r="BF130" s="179">
        <f t="shared" si="88"/>
        <v>3.6820908010949845E-2</v>
      </c>
      <c r="BG130" s="179">
        <f t="shared" si="88"/>
        <v>3.7905914440123235E-2</v>
      </c>
      <c r="BH130" s="179">
        <f t="shared" si="88"/>
        <v>3.6308924229012135E-2</v>
      </c>
    </row>
    <row r="131" spans="2:68" s="108" customFormat="1" x14ac:dyDescent="0.25">
      <c r="B131" s="107"/>
      <c r="E131" s="109" t="s">
        <v>2</v>
      </c>
      <c r="F131" s="110" t="s">
        <v>60</v>
      </c>
      <c r="G131" s="111" t="s">
        <v>131</v>
      </c>
      <c r="H131" s="112">
        <v>31866</v>
      </c>
      <c r="I131" s="112">
        <v>30687</v>
      </c>
      <c r="J131" s="112">
        <v>30296</v>
      </c>
      <c r="K131" s="112">
        <v>27081</v>
      </c>
      <c r="L131" s="112">
        <v>31957</v>
      </c>
      <c r="M131" s="112">
        <v>24900</v>
      </c>
      <c r="N131" s="112">
        <v>28677</v>
      </c>
      <c r="O131" s="112">
        <v>35138</v>
      </c>
      <c r="P131" s="112">
        <v>34184</v>
      </c>
      <c r="R131" s="111" t="s">
        <v>131</v>
      </c>
      <c r="S131" s="220">
        <v>7.6</v>
      </c>
      <c r="T131" s="220">
        <v>7.7</v>
      </c>
      <c r="U131" s="220">
        <v>7.6</v>
      </c>
      <c r="V131" s="220">
        <v>7.6</v>
      </c>
      <c r="W131" s="220">
        <v>7.3</v>
      </c>
      <c r="X131" s="220">
        <v>9.1</v>
      </c>
      <c r="Y131" s="220">
        <v>7.1</v>
      </c>
      <c r="Z131" s="220">
        <v>7.2</v>
      </c>
      <c r="AA131" s="220">
        <v>6.6</v>
      </c>
      <c r="AB131" s="126"/>
      <c r="AC131" s="111" t="s">
        <v>131</v>
      </c>
      <c r="AD131" s="112">
        <f t="shared" si="90"/>
        <v>4843.6319999999996</v>
      </c>
      <c r="AE131" s="112">
        <f t="shared" si="86"/>
        <v>4725.7979999999998</v>
      </c>
      <c r="AF131" s="112">
        <f t="shared" si="86"/>
        <v>4604.9919999999993</v>
      </c>
      <c r="AG131" s="112">
        <f t="shared" si="86"/>
        <v>4116.3119999999999</v>
      </c>
      <c r="AH131" s="112">
        <f t="shared" si="86"/>
        <v>4665.7219999999998</v>
      </c>
      <c r="AI131" s="112">
        <f t="shared" si="86"/>
        <v>4531.8</v>
      </c>
      <c r="AJ131" s="112">
        <f t="shared" si="86"/>
        <v>4072.1339999999996</v>
      </c>
      <c r="AK131" s="112">
        <f t="shared" si="86"/>
        <v>5059.8720000000003</v>
      </c>
      <c r="AL131" s="112">
        <f t="shared" si="86"/>
        <v>4512.2879999999996</v>
      </c>
      <c r="AN131" s="111" t="s">
        <v>131</v>
      </c>
      <c r="AO131" s="113">
        <f t="shared" ref="AO131:AW131" si="103">H131/H127</f>
        <v>0.24987257800186624</v>
      </c>
      <c r="AP131" s="113">
        <f t="shared" si="103"/>
        <v>0.25028750397611882</v>
      </c>
      <c r="AQ131" s="113">
        <f t="shared" si="103"/>
        <v>0.26439760876205437</v>
      </c>
      <c r="AR131" s="113">
        <f t="shared" si="103"/>
        <v>0.25438917852613779</v>
      </c>
      <c r="AS131" s="113">
        <f t="shared" si="103"/>
        <v>0.3123607147046174</v>
      </c>
      <c r="AT131" s="113">
        <f t="shared" si="103"/>
        <v>0.25793753560884652</v>
      </c>
      <c r="AU131" s="113">
        <f t="shared" si="103"/>
        <v>0.29623469862093899</v>
      </c>
      <c r="AV131" s="113">
        <f t="shared" si="103"/>
        <v>0.35494721955654324</v>
      </c>
      <c r="AW131" s="113">
        <f t="shared" si="103"/>
        <v>0.34781193085274159</v>
      </c>
      <c r="AY131" s="111" t="s">
        <v>131</v>
      </c>
      <c r="AZ131" s="179">
        <f t="shared" si="88"/>
        <v>3.798063185628367E-2</v>
      </c>
      <c r="BA131" s="179">
        <f t="shared" si="88"/>
        <v>3.85442756123223E-2</v>
      </c>
      <c r="BB131" s="179">
        <f t="shared" si="88"/>
        <v>4.018843653183226E-2</v>
      </c>
      <c r="BC131" s="179">
        <f t="shared" si="88"/>
        <v>3.8667155135972943E-2</v>
      </c>
      <c r="BD131" s="179">
        <f t="shared" si="88"/>
        <v>4.5604664346874137E-2</v>
      </c>
      <c r="BE131" s="179">
        <f t="shared" si="88"/>
        <v>4.6944631480810066E-2</v>
      </c>
      <c r="BF131" s="179">
        <f t="shared" si="88"/>
        <v>4.2065327204173331E-2</v>
      </c>
      <c r="BG131" s="179">
        <f t="shared" si="88"/>
        <v>5.1112399616142223E-2</v>
      </c>
      <c r="BH131" s="179">
        <f t="shared" si="88"/>
        <v>4.591117487256189E-2</v>
      </c>
    </row>
    <row r="132" spans="2:68" s="87" customFormat="1" x14ac:dyDescent="0.25">
      <c r="B132" s="84"/>
      <c r="C132" s="85"/>
      <c r="D132" s="85"/>
      <c r="E132" s="109" t="s">
        <v>3</v>
      </c>
      <c r="F132" s="110" t="s">
        <v>60</v>
      </c>
      <c r="G132" s="195" t="s">
        <v>7</v>
      </c>
      <c r="H132" s="69">
        <v>137697</v>
      </c>
      <c r="I132" s="69">
        <v>146378</v>
      </c>
      <c r="J132" s="69">
        <v>150871</v>
      </c>
      <c r="K132" s="69">
        <v>157492</v>
      </c>
      <c r="L132" s="69">
        <v>161847</v>
      </c>
      <c r="M132" s="69">
        <v>163566</v>
      </c>
      <c r="N132" s="69">
        <v>164931</v>
      </c>
      <c r="O132" s="69">
        <v>165846</v>
      </c>
      <c r="P132" s="69">
        <v>159569</v>
      </c>
      <c r="R132" s="195" t="s">
        <v>7</v>
      </c>
      <c r="S132" s="226">
        <v>1.2</v>
      </c>
      <c r="T132" s="226">
        <v>1.4</v>
      </c>
      <c r="U132" s="226">
        <v>1</v>
      </c>
      <c r="V132" s="226">
        <v>1.1000000000000001</v>
      </c>
      <c r="W132" s="226">
        <v>1.2</v>
      </c>
      <c r="X132" s="226">
        <v>1.3</v>
      </c>
      <c r="Y132" s="226">
        <v>1.3</v>
      </c>
      <c r="Z132" s="226">
        <v>1.7</v>
      </c>
      <c r="AA132" s="226">
        <v>1.3</v>
      </c>
      <c r="AB132" s="125"/>
      <c r="AC132" s="195" t="s">
        <v>7</v>
      </c>
      <c r="AD132" s="69">
        <f t="shared" si="90"/>
        <v>3304.7280000000001</v>
      </c>
      <c r="AE132" s="69">
        <f t="shared" si="86"/>
        <v>4098.5839999999998</v>
      </c>
      <c r="AF132" s="69">
        <f t="shared" si="86"/>
        <v>3017.42</v>
      </c>
      <c r="AG132" s="69">
        <f t="shared" si="86"/>
        <v>3464.8240000000001</v>
      </c>
      <c r="AH132" s="69">
        <f t="shared" si="86"/>
        <v>3884.328</v>
      </c>
      <c r="AI132" s="69">
        <f t="shared" si="86"/>
        <v>4252.7160000000003</v>
      </c>
      <c r="AJ132" s="69">
        <f t="shared" si="86"/>
        <v>4288.2060000000001</v>
      </c>
      <c r="AK132" s="69">
        <f t="shared" si="86"/>
        <v>5638.7640000000001</v>
      </c>
      <c r="AL132" s="69">
        <f t="shared" si="86"/>
        <v>4148.7939999999999</v>
      </c>
      <c r="AN132" s="195" t="s">
        <v>7</v>
      </c>
      <c r="AO132" s="98">
        <f t="shared" ref="AO132:AW132" si="104">H132/H132</f>
        <v>1</v>
      </c>
      <c r="AP132" s="98">
        <f t="shared" si="104"/>
        <v>1</v>
      </c>
      <c r="AQ132" s="98">
        <f t="shared" si="104"/>
        <v>1</v>
      </c>
      <c r="AR132" s="98">
        <f t="shared" si="104"/>
        <v>1</v>
      </c>
      <c r="AS132" s="98">
        <f t="shared" si="104"/>
        <v>1</v>
      </c>
      <c r="AT132" s="98">
        <f t="shared" si="104"/>
        <v>1</v>
      </c>
      <c r="AU132" s="98">
        <f t="shared" si="104"/>
        <v>1</v>
      </c>
      <c r="AV132" s="98">
        <f t="shared" si="104"/>
        <v>1</v>
      </c>
      <c r="AW132" s="98">
        <f t="shared" si="104"/>
        <v>1</v>
      </c>
      <c r="AX132" s="191"/>
      <c r="AY132" s="195" t="s">
        <v>7</v>
      </c>
      <c r="AZ132" s="178">
        <f t="shared" si="88"/>
        <v>2.4E-2</v>
      </c>
      <c r="BA132" s="178">
        <f t="shared" si="88"/>
        <v>2.7999999999999997E-2</v>
      </c>
      <c r="BB132" s="178">
        <f t="shared" si="88"/>
        <v>0.02</v>
      </c>
      <c r="BC132" s="178">
        <f t="shared" si="88"/>
        <v>2.2000000000000002E-2</v>
      </c>
      <c r="BD132" s="178">
        <f t="shared" si="88"/>
        <v>2.4E-2</v>
      </c>
      <c r="BE132" s="178">
        <f t="shared" si="88"/>
        <v>2.6000000000000002E-2</v>
      </c>
      <c r="BF132" s="178">
        <f t="shared" si="88"/>
        <v>2.6000000000000002E-2</v>
      </c>
      <c r="BG132" s="178">
        <f t="shared" si="88"/>
        <v>3.4000000000000002E-2</v>
      </c>
      <c r="BH132" s="178">
        <f t="shared" si="88"/>
        <v>2.6000000000000002E-2</v>
      </c>
      <c r="BI132" s="191"/>
      <c r="BJ132" s="191"/>
      <c r="BK132" s="191"/>
      <c r="BL132" s="191"/>
      <c r="BM132" s="191"/>
      <c r="BN132" s="191"/>
      <c r="BO132" s="191"/>
      <c r="BP132" s="191"/>
    </row>
    <row r="133" spans="2:68" s="108" customFormat="1" x14ac:dyDescent="0.25">
      <c r="B133" s="107"/>
      <c r="E133" s="109" t="s">
        <v>3</v>
      </c>
      <c r="F133" s="110" t="s">
        <v>60</v>
      </c>
      <c r="G133" s="111" t="s">
        <v>54</v>
      </c>
      <c r="H133" s="112">
        <v>35186</v>
      </c>
      <c r="I133" s="112">
        <v>32016</v>
      </c>
      <c r="J133" s="112">
        <v>31053</v>
      </c>
      <c r="K133" s="112">
        <v>41109</v>
      </c>
      <c r="L133" s="112">
        <v>39401</v>
      </c>
      <c r="M133" s="112">
        <v>38572</v>
      </c>
      <c r="N133" s="112">
        <v>40782</v>
      </c>
      <c r="O133" s="112">
        <v>41693</v>
      </c>
      <c r="P133" s="112">
        <v>40578</v>
      </c>
      <c r="R133" s="111" t="s">
        <v>54</v>
      </c>
      <c r="S133" s="220">
        <v>6.5</v>
      </c>
      <c r="T133" s="220">
        <v>8</v>
      </c>
      <c r="U133" s="220">
        <v>7.6</v>
      </c>
      <c r="V133" s="220">
        <v>6.2</v>
      </c>
      <c r="W133" s="220">
        <v>7.2</v>
      </c>
      <c r="X133" s="220">
        <v>7.8</v>
      </c>
      <c r="Y133" s="220">
        <v>6.3</v>
      </c>
      <c r="Z133" s="220">
        <v>7.2</v>
      </c>
      <c r="AA133" s="220">
        <v>7.1</v>
      </c>
      <c r="AB133" s="126"/>
      <c r="AC133" s="111" t="s">
        <v>54</v>
      </c>
      <c r="AD133" s="112">
        <f t="shared" si="90"/>
        <v>4574.18</v>
      </c>
      <c r="AE133" s="112">
        <f t="shared" si="90"/>
        <v>5122.5600000000004</v>
      </c>
      <c r="AF133" s="112">
        <f t="shared" si="90"/>
        <v>4720.0559999999996</v>
      </c>
      <c r="AG133" s="112">
        <f t="shared" si="90"/>
        <v>5097.5160000000005</v>
      </c>
      <c r="AH133" s="112">
        <f t="shared" si="90"/>
        <v>5673.7440000000006</v>
      </c>
      <c r="AI133" s="112">
        <f t="shared" si="90"/>
        <v>6017.232</v>
      </c>
      <c r="AJ133" s="112">
        <f t="shared" si="90"/>
        <v>5138.5320000000002</v>
      </c>
      <c r="AK133" s="112">
        <f t="shared" si="90"/>
        <v>6003.7920000000004</v>
      </c>
      <c r="AL133" s="112">
        <f t="shared" si="90"/>
        <v>5762.076</v>
      </c>
      <c r="AN133" s="111" t="s">
        <v>54</v>
      </c>
      <c r="AO133" s="113">
        <f t="shared" ref="AO133:AW133" si="105">H133/H132</f>
        <v>0.25553207404663864</v>
      </c>
      <c r="AP133" s="113">
        <f t="shared" si="105"/>
        <v>0.21872139255899112</v>
      </c>
      <c r="AQ133" s="113">
        <f t="shared" si="105"/>
        <v>0.20582484374067914</v>
      </c>
      <c r="AR133" s="113">
        <f t="shared" si="105"/>
        <v>0.26102278210956747</v>
      </c>
      <c r="AS133" s="113">
        <f t="shared" si="105"/>
        <v>0.24344597057715003</v>
      </c>
      <c r="AT133" s="113">
        <f t="shared" si="105"/>
        <v>0.23581918002518862</v>
      </c>
      <c r="AU133" s="113">
        <f t="shared" si="105"/>
        <v>0.24726703894355823</v>
      </c>
      <c r="AV133" s="113">
        <f t="shared" si="105"/>
        <v>0.25139587328003088</v>
      </c>
      <c r="AW133" s="113">
        <f t="shared" si="105"/>
        <v>0.25429751392814393</v>
      </c>
      <c r="AY133" s="111" t="s">
        <v>54</v>
      </c>
      <c r="AZ133" s="179">
        <f t="shared" si="88"/>
        <v>3.3219169626063021E-2</v>
      </c>
      <c r="BA133" s="179">
        <f t="shared" si="88"/>
        <v>3.4995422809438577E-2</v>
      </c>
      <c r="BB133" s="179">
        <f t="shared" si="88"/>
        <v>3.1285376248583227E-2</v>
      </c>
      <c r="BC133" s="179">
        <f t="shared" si="88"/>
        <v>3.2366824981586363E-2</v>
      </c>
      <c r="BD133" s="179">
        <f t="shared" si="88"/>
        <v>3.5056219763109603E-2</v>
      </c>
      <c r="BE133" s="179">
        <f t="shared" si="88"/>
        <v>3.6787792083929426E-2</v>
      </c>
      <c r="BF133" s="179">
        <f t="shared" si="88"/>
        <v>3.1155646906888337E-2</v>
      </c>
      <c r="BG133" s="179">
        <f t="shared" si="88"/>
        <v>3.6201005752324447E-2</v>
      </c>
      <c r="BH133" s="179">
        <f t="shared" si="88"/>
        <v>3.6110246977796433E-2</v>
      </c>
    </row>
    <row r="134" spans="2:68" s="108" customFormat="1" x14ac:dyDescent="0.25">
      <c r="B134" s="107"/>
      <c r="E134" s="109" t="s">
        <v>3</v>
      </c>
      <c r="F134" s="110" t="s">
        <v>60</v>
      </c>
      <c r="G134" s="111" t="s">
        <v>55</v>
      </c>
      <c r="H134" s="70">
        <v>54621</v>
      </c>
      <c r="I134" s="70">
        <v>61907</v>
      </c>
      <c r="J134" s="112">
        <v>67647</v>
      </c>
      <c r="K134" s="112">
        <v>63036</v>
      </c>
      <c r="L134" s="112">
        <v>65128</v>
      </c>
      <c r="M134" s="112">
        <v>63183</v>
      </c>
      <c r="N134" s="112">
        <v>65472</v>
      </c>
      <c r="O134" s="112">
        <v>58235</v>
      </c>
      <c r="P134" s="112">
        <v>60717</v>
      </c>
      <c r="R134" s="111" t="s">
        <v>55</v>
      </c>
      <c r="S134" s="81">
        <v>5.0999999999999996</v>
      </c>
      <c r="T134" s="81">
        <v>4.9000000000000004</v>
      </c>
      <c r="U134" s="81">
        <v>4.4000000000000004</v>
      </c>
      <c r="V134" s="81">
        <v>4.4000000000000004</v>
      </c>
      <c r="W134" s="81">
        <v>5.4</v>
      </c>
      <c r="X134" s="81">
        <v>5.4</v>
      </c>
      <c r="Y134" s="81">
        <v>4.7</v>
      </c>
      <c r="Z134" s="81">
        <v>6.2</v>
      </c>
      <c r="AA134" s="81">
        <v>5.4</v>
      </c>
      <c r="AB134" s="126"/>
      <c r="AC134" s="111" t="s">
        <v>55</v>
      </c>
      <c r="AD134" s="70">
        <f t="shared" si="90"/>
        <v>5571.3419999999996</v>
      </c>
      <c r="AE134" s="70">
        <f t="shared" si="90"/>
        <v>6066.8860000000013</v>
      </c>
      <c r="AF134" s="70">
        <f t="shared" si="90"/>
        <v>5952.9360000000006</v>
      </c>
      <c r="AG134" s="70">
        <f t="shared" si="90"/>
        <v>5547.1680000000006</v>
      </c>
      <c r="AH134" s="70">
        <f t="shared" si="90"/>
        <v>7033.8240000000005</v>
      </c>
      <c r="AI134" s="70">
        <f t="shared" si="90"/>
        <v>6823.7640000000001</v>
      </c>
      <c r="AJ134" s="70">
        <f t="shared" si="90"/>
        <v>6154.3680000000004</v>
      </c>
      <c r="AK134" s="70">
        <f t="shared" si="90"/>
        <v>7221.14</v>
      </c>
      <c r="AL134" s="70">
        <f t="shared" si="90"/>
        <v>6557.4360000000006</v>
      </c>
      <c r="AN134" s="111" t="s">
        <v>55</v>
      </c>
      <c r="AO134" s="113">
        <f t="shared" ref="AO134:AW134" si="106">H134/H132</f>
        <v>0.39667530883025776</v>
      </c>
      <c r="AP134" s="113">
        <f t="shared" si="106"/>
        <v>0.42292557624779681</v>
      </c>
      <c r="AQ134" s="113">
        <f t="shared" si="106"/>
        <v>0.44837642754406082</v>
      </c>
      <c r="AR134" s="113">
        <f t="shared" si="106"/>
        <v>0.40024890153150638</v>
      </c>
      <c r="AS134" s="113">
        <f t="shared" si="106"/>
        <v>0.40240474027939965</v>
      </c>
      <c r="AT134" s="113">
        <f t="shared" si="106"/>
        <v>0.38628443564065884</v>
      </c>
      <c r="AU134" s="113">
        <f t="shared" si="106"/>
        <v>0.39696600396529458</v>
      </c>
      <c r="AV134" s="113">
        <f t="shared" si="106"/>
        <v>0.35113900847774443</v>
      </c>
      <c r="AW134" s="113">
        <f t="shared" si="106"/>
        <v>0.38050623868044547</v>
      </c>
      <c r="AY134" s="111" t="s">
        <v>55</v>
      </c>
      <c r="AZ134" s="179">
        <f t="shared" si="88"/>
        <v>4.0460881500686288E-2</v>
      </c>
      <c r="BA134" s="179">
        <f t="shared" si="88"/>
        <v>4.1446706472284094E-2</v>
      </c>
      <c r="BB134" s="179">
        <f t="shared" si="88"/>
        <v>3.9457125623877355E-2</v>
      </c>
      <c r="BC134" s="179">
        <f t="shared" si="88"/>
        <v>3.522190333477257E-2</v>
      </c>
      <c r="BD134" s="179">
        <f t="shared" si="88"/>
        <v>4.3459711950175166E-2</v>
      </c>
      <c r="BE134" s="179">
        <f t="shared" si="88"/>
        <v>4.1718719049191159E-2</v>
      </c>
      <c r="BF134" s="179">
        <f t="shared" si="88"/>
        <v>3.7314804372737688E-2</v>
      </c>
      <c r="BG134" s="179">
        <f t="shared" si="88"/>
        <v>4.3541237051240307E-2</v>
      </c>
      <c r="BH134" s="179">
        <f t="shared" si="88"/>
        <v>4.1094673777488114E-2</v>
      </c>
    </row>
    <row r="135" spans="2:68" s="108" customFormat="1" x14ac:dyDescent="0.25">
      <c r="B135" s="107"/>
      <c r="E135" s="109" t="s">
        <v>3</v>
      </c>
      <c r="F135" s="110" t="s">
        <v>60</v>
      </c>
      <c r="G135" s="111" t="s">
        <v>130</v>
      </c>
      <c r="H135" s="70">
        <v>14105</v>
      </c>
      <c r="I135" s="70">
        <v>18445</v>
      </c>
      <c r="J135" s="70">
        <v>16293</v>
      </c>
      <c r="K135" s="70">
        <v>15516</v>
      </c>
      <c r="L135" s="70">
        <v>17268</v>
      </c>
      <c r="M135" s="70">
        <v>17449</v>
      </c>
      <c r="N135" s="70">
        <v>17796</v>
      </c>
      <c r="O135" s="112">
        <v>14381</v>
      </c>
      <c r="P135" s="112">
        <v>15451</v>
      </c>
      <c r="R135" s="111" t="s">
        <v>130</v>
      </c>
      <c r="S135" s="220">
        <v>12.6</v>
      </c>
      <c r="T135" s="220">
        <v>10.9</v>
      </c>
      <c r="U135" s="220">
        <v>11</v>
      </c>
      <c r="V135" s="220">
        <v>10.8</v>
      </c>
      <c r="W135" s="220">
        <v>12.3</v>
      </c>
      <c r="X135" s="220">
        <v>11.9</v>
      </c>
      <c r="Y135" s="220">
        <v>11.2</v>
      </c>
      <c r="Z135" s="220">
        <v>13.7</v>
      </c>
      <c r="AA135" s="220">
        <v>12.8</v>
      </c>
      <c r="AB135" s="126"/>
      <c r="AC135" s="111" t="s">
        <v>130</v>
      </c>
      <c r="AD135" s="70">
        <f t="shared" si="90"/>
        <v>3554.46</v>
      </c>
      <c r="AE135" s="70">
        <f t="shared" si="90"/>
        <v>4021.01</v>
      </c>
      <c r="AF135" s="70">
        <f t="shared" si="90"/>
        <v>3584.46</v>
      </c>
      <c r="AG135" s="70">
        <f t="shared" si="90"/>
        <v>3351.4560000000001</v>
      </c>
      <c r="AH135" s="70">
        <f t="shared" si="90"/>
        <v>4247.9280000000008</v>
      </c>
      <c r="AI135" s="70">
        <f t="shared" si="90"/>
        <v>4152.8620000000001</v>
      </c>
      <c r="AJ135" s="70">
        <f t="shared" si="90"/>
        <v>3986.3039999999996</v>
      </c>
      <c r="AK135" s="70">
        <f t="shared" si="90"/>
        <v>3940.3939999999998</v>
      </c>
      <c r="AL135" s="70">
        <f t="shared" si="90"/>
        <v>3955.4560000000001</v>
      </c>
      <c r="AN135" s="111" t="s">
        <v>130</v>
      </c>
      <c r="AO135" s="113">
        <f t="shared" ref="AO135:AW135" si="107">H135/H132</f>
        <v>0.1024350566824259</v>
      </c>
      <c r="AP135" s="113">
        <f t="shared" si="107"/>
        <v>0.12600937299320936</v>
      </c>
      <c r="AQ135" s="113">
        <f t="shared" si="107"/>
        <v>0.10799292110478488</v>
      </c>
      <c r="AR135" s="113">
        <f t="shared" si="107"/>
        <v>9.851928986869174E-2</v>
      </c>
      <c r="AS135" s="113">
        <f t="shared" si="107"/>
        <v>0.10669335854232702</v>
      </c>
      <c r="AT135" s="113">
        <f t="shared" si="107"/>
        <v>0.10667864959710453</v>
      </c>
      <c r="AU135" s="113">
        <f t="shared" si="107"/>
        <v>0.10789966713352857</v>
      </c>
      <c r="AV135" s="113">
        <f t="shared" si="107"/>
        <v>8.6712974687360569E-2</v>
      </c>
      <c r="AW135" s="113">
        <f t="shared" si="107"/>
        <v>9.6829584693768844E-2</v>
      </c>
      <c r="AY135" s="111" t="s">
        <v>130</v>
      </c>
      <c r="AZ135" s="179">
        <f t="shared" si="88"/>
        <v>2.5813634283971324E-2</v>
      </c>
      <c r="BA135" s="179">
        <f t="shared" si="88"/>
        <v>2.7470043312519642E-2</v>
      </c>
      <c r="BB135" s="179">
        <f t="shared" si="88"/>
        <v>2.3758442643052671E-2</v>
      </c>
      <c r="BC135" s="179">
        <f t="shared" si="88"/>
        <v>2.1280166611637417E-2</v>
      </c>
      <c r="BD135" s="179">
        <f t="shared" si="88"/>
        <v>2.6246566201412448E-2</v>
      </c>
      <c r="BE135" s="179">
        <f t="shared" si="88"/>
        <v>2.5389518604110883E-2</v>
      </c>
      <c r="BF135" s="179">
        <f t="shared" si="88"/>
        <v>2.41695254379104E-2</v>
      </c>
      <c r="BG135" s="179">
        <f t="shared" si="88"/>
        <v>2.3759355064336796E-2</v>
      </c>
      <c r="BH135" s="179">
        <f t="shared" si="88"/>
        <v>2.4788373681604824E-2</v>
      </c>
    </row>
    <row r="136" spans="2:68" s="108" customFormat="1" x14ac:dyDescent="0.25">
      <c r="B136" s="107"/>
      <c r="E136" s="109" t="s">
        <v>3</v>
      </c>
      <c r="F136" s="110" t="s">
        <v>60</v>
      </c>
      <c r="G136" s="111" t="s">
        <v>131</v>
      </c>
      <c r="H136" s="112">
        <v>33714</v>
      </c>
      <c r="I136" s="112">
        <v>33913</v>
      </c>
      <c r="J136" s="112">
        <v>35878</v>
      </c>
      <c r="K136" s="112">
        <v>37786</v>
      </c>
      <c r="L136" s="112">
        <v>40050</v>
      </c>
      <c r="M136" s="112">
        <v>44363</v>
      </c>
      <c r="N136" s="112">
        <v>40881</v>
      </c>
      <c r="O136" s="112">
        <v>51537</v>
      </c>
      <c r="P136" s="112">
        <v>42823</v>
      </c>
      <c r="R136" s="111" t="s">
        <v>131</v>
      </c>
      <c r="S136" s="220">
        <v>6.7</v>
      </c>
      <c r="T136" s="220">
        <v>8</v>
      </c>
      <c r="U136" s="220">
        <v>7</v>
      </c>
      <c r="V136" s="220">
        <v>6.7</v>
      </c>
      <c r="W136" s="220">
        <v>6.1</v>
      </c>
      <c r="X136" s="220">
        <v>6.7</v>
      </c>
      <c r="Y136" s="220">
        <v>6.3</v>
      </c>
      <c r="Z136" s="220">
        <v>6.2</v>
      </c>
      <c r="AA136" s="220">
        <v>7.1</v>
      </c>
      <c r="AB136" s="126"/>
      <c r="AC136" s="111" t="s">
        <v>131</v>
      </c>
      <c r="AD136" s="112">
        <f t="shared" si="90"/>
        <v>4517.6760000000004</v>
      </c>
      <c r="AE136" s="112">
        <f t="shared" si="90"/>
        <v>5426.08</v>
      </c>
      <c r="AF136" s="112">
        <f t="shared" si="90"/>
        <v>5022.92</v>
      </c>
      <c r="AG136" s="112">
        <f t="shared" si="90"/>
        <v>5063.3240000000005</v>
      </c>
      <c r="AH136" s="112">
        <f t="shared" si="90"/>
        <v>4886.1000000000004</v>
      </c>
      <c r="AI136" s="112">
        <f t="shared" si="90"/>
        <v>5944.6420000000007</v>
      </c>
      <c r="AJ136" s="112">
        <f t="shared" si="90"/>
        <v>5151.0059999999994</v>
      </c>
      <c r="AK136" s="112">
        <f t="shared" si="90"/>
        <v>6390.5880000000006</v>
      </c>
      <c r="AL136" s="112">
        <f t="shared" si="90"/>
        <v>6080.866</v>
      </c>
      <c r="AN136" s="111" t="s">
        <v>131</v>
      </c>
      <c r="AO136" s="113">
        <f t="shared" ref="AO136:AW136" si="108">H136/H132</f>
        <v>0.24484193555415151</v>
      </c>
      <c r="AP136" s="113">
        <f t="shared" si="108"/>
        <v>0.23168099031275191</v>
      </c>
      <c r="AQ136" s="113">
        <f t="shared" si="108"/>
        <v>0.23780580761047518</v>
      </c>
      <c r="AR136" s="113">
        <f t="shared" si="108"/>
        <v>0.23992329769131129</v>
      </c>
      <c r="AS136" s="113">
        <f t="shared" si="108"/>
        <v>0.24745593060112328</v>
      </c>
      <c r="AT136" s="113">
        <f t="shared" si="108"/>
        <v>0.27122384847706738</v>
      </c>
      <c r="AU136" s="113">
        <f t="shared" si="108"/>
        <v>0.24786728995761864</v>
      </c>
      <c r="AV136" s="113">
        <f t="shared" si="108"/>
        <v>0.31075214355486414</v>
      </c>
      <c r="AW136" s="113">
        <f t="shared" si="108"/>
        <v>0.26836666269764176</v>
      </c>
      <c r="AY136" s="111" t="s">
        <v>131</v>
      </c>
      <c r="AZ136" s="179">
        <f t="shared" si="88"/>
        <v>3.2808819364256302E-2</v>
      </c>
      <c r="BA136" s="179">
        <f t="shared" si="88"/>
        <v>3.7068958450040303E-2</v>
      </c>
      <c r="BB136" s="179">
        <f t="shared" si="88"/>
        <v>3.3292813065466526E-2</v>
      </c>
      <c r="BC136" s="179">
        <f t="shared" si="88"/>
        <v>3.2149721890635717E-2</v>
      </c>
      <c r="BD136" s="179">
        <f t="shared" si="88"/>
        <v>3.0189623533337036E-2</v>
      </c>
      <c r="BE136" s="179">
        <f t="shared" si="88"/>
        <v>3.6343995695927028E-2</v>
      </c>
      <c r="BF136" s="179">
        <f t="shared" si="88"/>
        <v>3.1231278534659949E-2</v>
      </c>
      <c r="BG136" s="179">
        <f t="shared" si="88"/>
        <v>3.8533265800803157E-2</v>
      </c>
      <c r="BH136" s="179">
        <f t="shared" si="88"/>
        <v>3.8108066103065129E-2</v>
      </c>
    </row>
    <row r="137" spans="2:68" s="87" customFormat="1" x14ac:dyDescent="0.25">
      <c r="B137" s="84"/>
      <c r="C137" s="85"/>
      <c r="D137" s="85"/>
      <c r="E137" s="109" t="s">
        <v>45</v>
      </c>
      <c r="F137" s="110" t="s">
        <v>60</v>
      </c>
      <c r="G137" s="195" t="s">
        <v>7</v>
      </c>
      <c r="H137" s="69">
        <v>59485</v>
      </c>
      <c r="I137" s="69">
        <v>60384</v>
      </c>
      <c r="J137" s="69">
        <v>63602</v>
      </c>
      <c r="K137" s="69">
        <v>67328</v>
      </c>
      <c r="L137" s="69">
        <v>71844</v>
      </c>
      <c r="M137" s="69">
        <v>78276</v>
      </c>
      <c r="N137" s="69">
        <v>85840</v>
      </c>
      <c r="O137" s="69">
        <v>94478</v>
      </c>
      <c r="P137" s="69">
        <v>102336</v>
      </c>
      <c r="R137" s="195" t="s">
        <v>7</v>
      </c>
      <c r="S137" s="226">
        <v>1.9</v>
      </c>
      <c r="T137" s="226">
        <v>2</v>
      </c>
      <c r="U137" s="226">
        <v>1.9</v>
      </c>
      <c r="V137" s="226">
        <v>1.7</v>
      </c>
      <c r="W137" s="226">
        <v>1.8</v>
      </c>
      <c r="X137" s="226">
        <v>1.9</v>
      </c>
      <c r="Y137" s="226">
        <v>1.7</v>
      </c>
      <c r="Z137" s="226">
        <v>1.7</v>
      </c>
      <c r="AA137" s="226">
        <v>1.6</v>
      </c>
      <c r="AB137" s="125"/>
      <c r="AC137" s="195" t="s">
        <v>7</v>
      </c>
      <c r="AD137" s="69">
        <f t="shared" si="90"/>
        <v>2260.4299999999998</v>
      </c>
      <c r="AE137" s="69">
        <f t="shared" si="90"/>
        <v>2415.36</v>
      </c>
      <c r="AF137" s="69">
        <f t="shared" si="90"/>
        <v>2416.8759999999997</v>
      </c>
      <c r="AG137" s="69">
        <f t="shared" si="90"/>
        <v>2289.152</v>
      </c>
      <c r="AH137" s="69">
        <f t="shared" si="90"/>
        <v>2586.384</v>
      </c>
      <c r="AI137" s="69">
        <f t="shared" si="90"/>
        <v>2974.4879999999998</v>
      </c>
      <c r="AJ137" s="69">
        <f t="shared" si="90"/>
        <v>2918.56</v>
      </c>
      <c r="AK137" s="69">
        <f t="shared" si="90"/>
        <v>3212.252</v>
      </c>
      <c r="AL137" s="69">
        <f t="shared" si="90"/>
        <v>3274.752</v>
      </c>
      <c r="AN137" s="195" t="s">
        <v>7</v>
      </c>
      <c r="AO137" s="98">
        <f t="shared" ref="AO137:AW137" si="109">H137/H137</f>
        <v>1</v>
      </c>
      <c r="AP137" s="98">
        <f t="shared" si="109"/>
        <v>1</v>
      </c>
      <c r="AQ137" s="98">
        <f t="shared" si="109"/>
        <v>1</v>
      </c>
      <c r="AR137" s="98">
        <f t="shared" si="109"/>
        <v>1</v>
      </c>
      <c r="AS137" s="98">
        <f t="shared" si="109"/>
        <v>1</v>
      </c>
      <c r="AT137" s="98">
        <f t="shared" si="109"/>
        <v>1</v>
      </c>
      <c r="AU137" s="98">
        <f t="shared" si="109"/>
        <v>1</v>
      </c>
      <c r="AV137" s="98">
        <f t="shared" si="109"/>
        <v>1</v>
      </c>
      <c r="AW137" s="98">
        <f t="shared" si="109"/>
        <v>1</v>
      </c>
      <c r="AX137" s="191"/>
      <c r="AY137" s="195" t="s">
        <v>7</v>
      </c>
      <c r="AZ137" s="178">
        <f t="shared" si="88"/>
        <v>3.7999999999999999E-2</v>
      </c>
      <c r="BA137" s="178">
        <f t="shared" si="88"/>
        <v>0.04</v>
      </c>
      <c r="BB137" s="178">
        <f t="shared" si="88"/>
        <v>3.7999999999999999E-2</v>
      </c>
      <c r="BC137" s="178">
        <f t="shared" si="88"/>
        <v>3.4000000000000002E-2</v>
      </c>
      <c r="BD137" s="178">
        <f t="shared" si="88"/>
        <v>3.6000000000000004E-2</v>
      </c>
      <c r="BE137" s="178">
        <f t="shared" si="88"/>
        <v>3.7999999999999999E-2</v>
      </c>
      <c r="BF137" s="178">
        <f t="shared" si="88"/>
        <v>3.4000000000000002E-2</v>
      </c>
      <c r="BG137" s="178">
        <f t="shared" si="88"/>
        <v>3.4000000000000002E-2</v>
      </c>
      <c r="BH137" s="178">
        <f t="shared" si="88"/>
        <v>3.2000000000000001E-2</v>
      </c>
      <c r="BI137" s="191"/>
      <c r="BJ137" s="191"/>
      <c r="BK137" s="191"/>
      <c r="BL137" s="191"/>
      <c r="BM137" s="191"/>
      <c r="BN137" s="191"/>
      <c r="BO137" s="191"/>
      <c r="BP137" s="191"/>
    </row>
    <row r="138" spans="2:68" s="108" customFormat="1" x14ac:dyDescent="0.25">
      <c r="B138" s="107"/>
      <c r="E138" s="109" t="s">
        <v>45</v>
      </c>
      <c r="F138" s="110" t="s">
        <v>60</v>
      </c>
      <c r="G138" s="111" t="s">
        <v>54</v>
      </c>
      <c r="H138" s="112">
        <v>7487</v>
      </c>
      <c r="I138" s="112">
        <v>7965</v>
      </c>
      <c r="J138" s="112">
        <v>7451</v>
      </c>
      <c r="K138" s="112">
        <v>8327</v>
      </c>
      <c r="L138" s="112">
        <v>6464</v>
      </c>
      <c r="M138" s="112">
        <v>9036</v>
      </c>
      <c r="N138" s="112">
        <v>8010</v>
      </c>
      <c r="O138" s="112">
        <v>11041</v>
      </c>
      <c r="P138" s="112">
        <v>9641</v>
      </c>
      <c r="R138" s="111" t="s">
        <v>54</v>
      </c>
      <c r="S138" s="220">
        <v>15.8</v>
      </c>
      <c r="T138" s="220">
        <v>17.5</v>
      </c>
      <c r="U138" s="220">
        <v>16.600000000000001</v>
      </c>
      <c r="V138" s="220">
        <v>14.8</v>
      </c>
      <c r="W138" s="220">
        <v>19</v>
      </c>
      <c r="X138" s="220">
        <v>16.3</v>
      </c>
      <c r="Y138" s="220">
        <v>16.8</v>
      </c>
      <c r="Z138" s="220">
        <v>15</v>
      </c>
      <c r="AA138" s="220">
        <v>16.899999999999999</v>
      </c>
      <c r="AB138" s="126"/>
      <c r="AC138" s="111" t="s">
        <v>54</v>
      </c>
      <c r="AD138" s="112">
        <f t="shared" si="90"/>
        <v>2365.8920000000003</v>
      </c>
      <c r="AE138" s="112">
        <f t="shared" si="90"/>
        <v>2787.75</v>
      </c>
      <c r="AF138" s="112">
        <f t="shared" si="90"/>
        <v>2473.732</v>
      </c>
      <c r="AG138" s="112">
        <f t="shared" si="90"/>
        <v>2464.7919999999999</v>
      </c>
      <c r="AH138" s="112">
        <f t="shared" si="90"/>
        <v>2456.3200000000002</v>
      </c>
      <c r="AI138" s="112">
        <f t="shared" si="90"/>
        <v>2945.7360000000003</v>
      </c>
      <c r="AJ138" s="112">
        <f t="shared" si="90"/>
        <v>2691.36</v>
      </c>
      <c r="AK138" s="112">
        <f t="shared" si="90"/>
        <v>3312.3</v>
      </c>
      <c r="AL138" s="112">
        <f t="shared" si="90"/>
        <v>3258.6579999999999</v>
      </c>
      <c r="AN138" s="111" t="s">
        <v>54</v>
      </c>
      <c r="AO138" s="113">
        <f t="shared" ref="AO138:AW138" si="110">H138/H137</f>
        <v>0.12586366310834665</v>
      </c>
      <c r="AP138" s="113">
        <f t="shared" si="110"/>
        <v>0.13190580286168521</v>
      </c>
      <c r="AQ138" s="113">
        <f t="shared" si="110"/>
        <v>0.11715040407534354</v>
      </c>
      <c r="AR138" s="113">
        <f t="shared" si="110"/>
        <v>0.12367811311787072</v>
      </c>
      <c r="AS138" s="113">
        <f t="shared" si="110"/>
        <v>8.9972718668225593E-2</v>
      </c>
      <c r="AT138" s="113">
        <f t="shared" si="110"/>
        <v>0.11543768204813736</v>
      </c>
      <c r="AU138" s="113">
        <f t="shared" si="110"/>
        <v>9.3313140726933835E-2</v>
      </c>
      <c r="AV138" s="113">
        <f t="shared" si="110"/>
        <v>0.11686318508012447</v>
      </c>
      <c r="AW138" s="113">
        <f t="shared" si="110"/>
        <v>9.4209271419637267E-2</v>
      </c>
      <c r="AY138" s="111" t="s">
        <v>54</v>
      </c>
      <c r="AZ138" s="179">
        <f t="shared" si="88"/>
        <v>3.9772917542237544E-2</v>
      </c>
      <c r="BA138" s="179">
        <f t="shared" si="88"/>
        <v>4.616703100158983E-2</v>
      </c>
      <c r="BB138" s="179">
        <f t="shared" si="88"/>
        <v>3.8893934153014058E-2</v>
      </c>
      <c r="BC138" s="179">
        <f t="shared" si="88"/>
        <v>3.6608721482889732E-2</v>
      </c>
      <c r="BD138" s="179">
        <f t="shared" si="88"/>
        <v>3.4189633093925725E-2</v>
      </c>
      <c r="BE138" s="179">
        <f t="shared" si="88"/>
        <v>3.7632684347692777E-2</v>
      </c>
      <c r="BF138" s="179">
        <f t="shared" si="88"/>
        <v>3.1353215284249766E-2</v>
      </c>
      <c r="BG138" s="179">
        <f t="shared" si="88"/>
        <v>3.5058955524037344E-2</v>
      </c>
      <c r="BH138" s="179">
        <f t="shared" si="88"/>
        <v>3.1842733739837391E-2</v>
      </c>
    </row>
    <row r="139" spans="2:68" s="108" customFormat="1" x14ac:dyDescent="0.25">
      <c r="B139" s="107"/>
      <c r="E139" s="109" t="s">
        <v>45</v>
      </c>
      <c r="F139" s="110" t="s">
        <v>60</v>
      </c>
      <c r="G139" s="111" t="s">
        <v>55</v>
      </c>
      <c r="H139" s="70">
        <v>27551</v>
      </c>
      <c r="I139" s="70">
        <v>25953</v>
      </c>
      <c r="J139" s="70">
        <v>30496</v>
      </c>
      <c r="K139" s="70">
        <v>34405</v>
      </c>
      <c r="L139" s="70">
        <v>39050</v>
      </c>
      <c r="M139" s="70">
        <v>36951</v>
      </c>
      <c r="N139" s="70">
        <v>43310</v>
      </c>
      <c r="O139" s="112">
        <v>45364</v>
      </c>
      <c r="P139" s="112">
        <v>49686</v>
      </c>
      <c r="R139" s="111" t="s">
        <v>55</v>
      </c>
      <c r="S139" s="81">
        <v>4.8</v>
      </c>
      <c r="T139" s="81">
        <v>7.6</v>
      </c>
      <c r="U139" s="81">
        <v>6.5</v>
      </c>
      <c r="V139" s="81">
        <v>5.3</v>
      </c>
      <c r="W139" s="81">
        <v>6.4</v>
      </c>
      <c r="X139" s="81">
        <v>6.8</v>
      </c>
      <c r="Y139" s="81">
        <v>5.4</v>
      </c>
      <c r="Z139" s="81">
        <v>6.1</v>
      </c>
      <c r="AA139" s="81">
        <v>6.4</v>
      </c>
      <c r="AB139" s="126"/>
      <c r="AC139" s="111" t="s">
        <v>55</v>
      </c>
      <c r="AD139" s="70">
        <f t="shared" si="90"/>
        <v>2644.8959999999997</v>
      </c>
      <c r="AE139" s="70">
        <f t="shared" si="90"/>
        <v>3944.8559999999998</v>
      </c>
      <c r="AF139" s="70">
        <f t="shared" si="90"/>
        <v>3964.48</v>
      </c>
      <c r="AG139" s="70">
        <f t="shared" si="90"/>
        <v>3646.93</v>
      </c>
      <c r="AH139" s="70">
        <f t="shared" si="90"/>
        <v>4998.3999999999996</v>
      </c>
      <c r="AI139" s="70">
        <f t="shared" si="90"/>
        <v>5025.3359999999993</v>
      </c>
      <c r="AJ139" s="70">
        <f t="shared" si="90"/>
        <v>4677.4800000000005</v>
      </c>
      <c r="AK139" s="70">
        <f t="shared" si="90"/>
        <v>5534.4079999999994</v>
      </c>
      <c r="AL139" s="70">
        <f t="shared" si="90"/>
        <v>6359.8080000000009</v>
      </c>
      <c r="AN139" s="111" t="s">
        <v>55</v>
      </c>
      <c r="AO139" s="113">
        <f t="shared" ref="AO139:AW139" si="111">H139/H137</f>
        <v>0.46315877952424983</v>
      </c>
      <c r="AP139" s="113">
        <f t="shared" si="111"/>
        <v>0.42979928457869632</v>
      </c>
      <c r="AQ139" s="113">
        <f t="shared" si="111"/>
        <v>0.47948177730260055</v>
      </c>
      <c r="AR139" s="113">
        <f t="shared" si="111"/>
        <v>0.51100582224334601</v>
      </c>
      <c r="AS139" s="113">
        <f t="shared" si="111"/>
        <v>0.54353877846445076</v>
      </c>
      <c r="AT139" s="113">
        <f t="shared" si="111"/>
        <v>0.47206040165567992</v>
      </c>
      <c r="AU139" s="113">
        <f t="shared" si="111"/>
        <v>0.50454333643988813</v>
      </c>
      <c r="AV139" s="113">
        <f t="shared" si="111"/>
        <v>0.48015410995152308</v>
      </c>
      <c r="AW139" s="113">
        <f t="shared" si="111"/>
        <v>0.48551829268292684</v>
      </c>
      <c r="AY139" s="111" t="s">
        <v>55</v>
      </c>
      <c r="AZ139" s="179">
        <f t="shared" si="88"/>
        <v>4.4463242834327982E-2</v>
      </c>
      <c r="BA139" s="179">
        <f t="shared" si="88"/>
        <v>6.5329491255961838E-2</v>
      </c>
      <c r="BB139" s="179">
        <f t="shared" si="88"/>
        <v>6.2332631049338075E-2</v>
      </c>
      <c r="BC139" s="179">
        <f t="shared" si="88"/>
        <v>5.4166617157794673E-2</v>
      </c>
      <c r="BD139" s="179">
        <f t="shared" si="88"/>
        <v>6.9572963643449698E-2</v>
      </c>
      <c r="BE139" s="179">
        <f t="shared" si="88"/>
        <v>6.4200214625172475E-2</v>
      </c>
      <c r="BF139" s="179">
        <f t="shared" si="88"/>
        <v>5.449068033550792E-2</v>
      </c>
      <c r="BG139" s="179">
        <f t="shared" si="88"/>
        <v>5.8578801414085814E-2</v>
      </c>
      <c r="BH139" s="179">
        <f t="shared" si="88"/>
        <v>6.2146341463414634E-2</v>
      </c>
    </row>
    <row r="140" spans="2:68" s="108" customFormat="1" x14ac:dyDescent="0.25">
      <c r="B140" s="107"/>
      <c r="E140" s="109" t="s">
        <v>45</v>
      </c>
      <c r="F140" s="110" t="s">
        <v>60</v>
      </c>
      <c r="G140" s="111" t="s">
        <v>130</v>
      </c>
      <c r="H140" s="70">
        <v>3779</v>
      </c>
      <c r="I140" s="70">
        <v>3435</v>
      </c>
      <c r="J140" s="70">
        <v>5281</v>
      </c>
      <c r="K140" s="70">
        <v>4537</v>
      </c>
      <c r="L140" s="70">
        <v>4814</v>
      </c>
      <c r="M140" s="70">
        <v>7421</v>
      </c>
      <c r="N140" s="70">
        <v>7761</v>
      </c>
      <c r="O140" s="112">
        <v>9747</v>
      </c>
      <c r="P140" s="112">
        <v>10521</v>
      </c>
      <c r="R140" s="111" t="s">
        <v>130</v>
      </c>
      <c r="S140" s="220">
        <v>24.8</v>
      </c>
      <c r="T140" s="220">
        <v>27.5</v>
      </c>
      <c r="U140" s="220">
        <v>20.2</v>
      </c>
      <c r="V140" s="220">
        <v>21.5</v>
      </c>
      <c r="W140" s="220">
        <v>26.1</v>
      </c>
      <c r="X140" s="220">
        <v>19</v>
      </c>
      <c r="Y140" s="220">
        <v>17.899999999999999</v>
      </c>
      <c r="Z140" s="220">
        <v>16.600000000000001</v>
      </c>
      <c r="AA140" s="220">
        <v>15.6</v>
      </c>
      <c r="AB140" s="126"/>
      <c r="AC140" s="111" t="s">
        <v>130</v>
      </c>
      <c r="AD140" s="70">
        <f t="shared" si="90"/>
        <v>1874.384</v>
      </c>
      <c r="AE140" s="70">
        <f t="shared" si="90"/>
        <v>1889.25</v>
      </c>
      <c r="AF140" s="70">
        <f t="shared" si="90"/>
        <v>2133.5239999999999</v>
      </c>
      <c r="AG140" s="70">
        <f t="shared" si="90"/>
        <v>1950.91</v>
      </c>
      <c r="AH140" s="70">
        <f t="shared" si="90"/>
        <v>2512.9080000000004</v>
      </c>
      <c r="AI140" s="70">
        <f t="shared" si="90"/>
        <v>2819.98</v>
      </c>
      <c r="AJ140" s="70">
        <f t="shared" si="90"/>
        <v>2778.4380000000001</v>
      </c>
      <c r="AK140" s="70">
        <f t="shared" si="90"/>
        <v>3236.0040000000004</v>
      </c>
      <c r="AL140" s="70">
        <f t="shared" si="90"/>
        <v>3282.5520000000001</v>
      </c>
      <c r="AN140" s="111" t="s">
        <v>130</v>
      </c>
      <c r="AO140" s="113">
        <f t="shared" ref="AO140:AW140" si="112">H140/H137</f>
        <v>6.3528620660670762E-2</v>
      </c>
      <c r="AP140" s="113">
        <f t="shared" si="112"/>
        <v>5.6885930047694752E-2</v>
      </c>
      <c r="AQ140" s="113">
        <f t="shared" si="112"/>
        <v>8.3031980126411123E-2</v>
      </c>
      <c r="AR140" s="113">
        <f t="shared" si="112"/>
        <v>6.7386525665399238E-2</v>
      </c>
      <c r="AS140" s="113">
        <f t="shared" si="112"/>
        <v>6.7006291409164295E-2</v>
      </c>
      <c r="AT140" s="113">
        <f t="shared" si="112"/>
        <v>9.4805559813991511E-2</v>
      </c>
      <c r="AU140" s="113">
        <f t="shared" si="112"/>
        <v>9.0412395153774458E-2</v>
      </c>
      <c r="AV140" s="113">
        <f t="shared" si="112"/>
        <v>0.10316687482800228</v>
      </c>
      <c r="AW140" s="113">
        <f t="shared" si="112"/>
        <v>0.10280839587242026</v>
      </c>
      <c r="AY140" s="111" t="s">
        <v>130</v>
      </c>
      <c r="AZ140" s="179">
        <f t="shared" si="88"/>
        <v>3.1510195847692699E-2</v>
      </c>
      <c r="BA140" s="179">
        <f t="shared" si="88"/>
        <v>3.128726152623211E-2</v>
      </c>
      <c r="BB140" s="179">
        <f t="shared" si="88"/>
        <v>3.3544919971070092E-2</v>
      </c>
      <c r="BC140" s="179">
        <f t="shared" si="88"/>
        <v>2.8976206036121673E-2</v>
      </c>
      <c r="BD140" s="179">
        <f t="shared" si="88"/>
        <v>3.4977284115583762E-2</v>
      </c>
      <c r="BE140" s="179">
        <f t="shared" si="88"/>
        <v>3.6026112729316773E-2</v>
      </c>
      <c r="BF140" s="179">
        <f t="shared" si="88"/>
        <v>3.2367637465051252E-2</v>
      </c>
      <c r="BG140" s="179">
        <f t="shared" si="88"/>
        <v>3.4251402442896761E-2</v>
      </c>
      <c r="BH140" s="179">
        <f t="shared" si="88"/>
        <v>3.2076219512195123E-2</v>
      </c>
    </row>
    <row r="141" spans="2:68" s="108" customFormat="1" x14ac:dyDescent="0.25">
      <c r="B141" s="107"/>
      <c r="E141" s="109" t="s">
        <v>45</v>
      </c>
      <c r="F141" s="110" t="s">
        <v>60</v>
      </c>
      <c r="G141" s="111" t="s">
        <v>131</v>
      </c>
      <c r="H141" s="112">
        <v>20668</v>
      </c>
      <c r="I141" s="112">
        <v>22724</v>
      </c>
      <c r="J141" s="112">
        <v>20339</v>
      </c>
      <c r="K141" s="112">
        <v>19916</v>
      </c>
      <c r="L141" s="112">
        <v>21515</v>
      </c>
      <c r="M141" s="112">
        <v>24869</v>
      </c>
      <c r="N141" s="112">
        <v>26758</v>
      </c>
      <c r="O141" s="112">
        <v>28326</v>
      </c>
      <c r="P141" s="112">
        <v>32488</v>
      </c>
      <c r="R141" s="111" t="s">
        <v>131</v>
      </c>
      <c r="S141" s="220">
        <v>7.9</v>
      </c>
      <c r="T141" s="220">
        <v>8.1</v>
      </c>
      <c r="U141" s="220">
        <v>8.6999999999999993</v>
      </c>
      <c r="V141" s="220">
        <v>8.5</v>
      </c>
      <c r="W141" s="220">
        <v>8.6999999999999993</v>
      </c>
      <c r="X141" s="220">
        <v>8.8000000000000007</v>
      </c>
      <c r="Y141" s="220">
        <v>8.1</v>
      </c>
      <c r="Z141" s="220">
        <v>8.8000000000000007</v>
      </c>
      <c r="AA141" s="220">
        <v>8</v>
      </c>
      <c r="AB141" s="126"/>
      <c r="AC141" s="111" t="s">
        <v>131</v>
      </c>
      <c r="AD141" s="112">
        <f t="shared" si="90"/>
        <v>3265.5440000000003</v>
      </c>
      <c r="AE141" s="112">
        <f t="shared" si="90"/>
        <v>3681.288</v>
      </c>
      <c r="AF141" s="112">
        <f t="shared" si="90"/>
        <v>3538.9859999999999</v>
      </c>
      <c r="AG141" s="112">
        <f t="shared" si="90"/>
        <v>3385.72</v>
      </c>
      <c r="AH141" s="112">
        <f t="shared" si="90"/>
        <v>3743.6099999999992</v>
      </c>
      <c r="AI141" s="112">
        <f t="shared" si="90"/>
        <v>4376.9440000000004</v>
      </c>
      <c r="AJ141" s="112">
        <f t="shared" si="90"/>
        <v>4334.7959999999994</v>
      </c>
      <c r="AK141" s="112">
        <f t="shared" si="90"/>
        <v>4985.3760000000002</v>
      </c>
      <c r="AL141" s="112">
        <f t="shared" si="90"/>
        <v>5198.08</v>
      </c>
      <c r="AN141" s="111" t="s">
        <v>131</v>
      </c>
      <c r="AO141" s="113">
        <f t="shared" ref="AO141:AW141" si="113">H141/H137</f>
        <v>0.34744893670673277</v>
      </c>
      <c r="AP141" s="113">
        <f t="shared" si="113"/>
        <v>0.37632485426603074</v>
      </c>
      <c r="AQ141" s="113">
        <f t="shared" si="113"/>
        <v>0.31978554133517811</v>
      </c>
      <c r="AR141" s="113">
        <f t="shared" si="113"/>
        <v>0.29580560836501901</v>
      </c>
      <c r="AS141" s="113">
        <f t="shared" si="113"/>
        <v>0.29946829241133566</v>
      </c>
      <c r="AT141" s="113">
        <f t="shared" si="113"/>
        <v>0.31770913179007615</v>
      </c>
      <c r="AU141" s="113">
        <f t="shared" si="113"/>
        <v>0.31171947809878842</v>
      </c>
      <c r="AV141" s="113">
        <f t="shared" si="113"/>
        <v>0.29981583014035013</v>
      </c>
      <c r="AW141" s="113">
        <f t="shared" si="113"/>
        <v>0.31746404002501566</v>
      </c>
      <c r="AY141" s="111" t="s">
        <v>131</v>
      </c>
      <c r="AZ141" s="179">
        <f t="shared" si="88"/>
        <v>5.4896931999663778E-2</v>
      </c>
      <c r="BA141" s="179">
        <f t="shared" si="88"/>
        <v>6.0964626391096975E-2</v>
      </c>
      <c r="BB141" s="179">
        <f t="shared" si="88"/>
        <v>5.564268419232099E-2</v>
      </c>
      <c r="BC141" s="179">
        <f t="shared" si="88"/>
        <v>5.0286953422053235E-2</v>
      </c>
      <c r="BD141" s="179">
        <f t="shared" si="88"/>
        <v>5.2107482879572398E-2</v>
      </c>
      <c r="BE141" s="179">
        <f t="shared" si="88"/>
        <v>5.591680719505341E-2</v>
      </c>
      <c r="BF141" s="179">
        <f t="shared" si="88"/>
        <v>5.049855545200372E-2</v>
      </c>
      <c r="BG141" s="179">
        <f t="shared" si="88"/>
        <v>5.2767586104701628E-2</v>
      </c>
      <c r="BH141" s="179">
        <f t="shared" si="88"/>
        <v>5.0794246404002506E-2</v>
      </c>
    </row>
    <row r="142" spans="2:68" s="87" customFormat="1" x14ac:dyDescent="0.25">
      <c r="B142" s="84"/>
      <c r="C142" s="85"/>
      <c r="D142" s="85"/>
      <c r="E142" s="109" t="s">
        <v>46</v>
      </c>
      <c r="F142" s="110" t="s">
        <v>60</v>
      </c>
      <c r="G142" s="195" t="s">
        <v>7</v>
      </c>
      <c r="H142" s="69">
        <v>461102</v>
      </c>
      <c r="I142" s="69">
        <v>460130</v>
      </c>
      <c r="J142" s="69">
        <v>448812</v>
      </c>
      <c r="K142" s="69">
        <v>442692</v>
      </c>
      <c r="L142" s="69">
        <v>445350</v>
      </c>
      <c r="M142" s="69">
        <v>444501</v>
      </c>
      <c r="N142" s="69">
        <v>452483</v>
      </c>
      <c r="O142" s="69">
        <v>457789</v>
      </c>
      <c r="P142" s="69">
        <v>459372</v>
      </c>
      <c r="R142" s="195" t="s">
        <v>7</v>
      </c>
      <c r="S142" s="226">
        <v>0.7</v>
      </c>
      <c r="T142" s="226">
        <v>0.8</v>
      </c>
      <c r="U142" s="226">
        <v>0.7</v>
      </c>
      <c r="V142" s="226">
        <v>0.7</v>
      </c>
      <c r="W142" s="226">
        <v>0.8</v>
      </c>
      <c r="X142" s="226">
        <v>0.8</v>
      </c>
      <c r="Y142" s="226">
        <v>0.8</v>
      </c>
      <c r="Z142" s="226">
        <v>0.9</v>
      </c>
      <c r="AA142" s="226">
        <v>0.8</v>
      </c>
      <c r="AB142" s="125"/>
      <c r="AC142" s="195" t="s">
        <v>7</v>
      </c>
      <c r="AD142" s="69">
        <f t="shared" si="90"/>
        <v>6455.427999999999</v>
      </c>
      <c r="AE142" s="69">
        <f t="shared" si="90"/>
        <v>7362.08</v>
      </c>
      <c r="AF142" s="69">
        <f t="shared" si="90"/>
        <v>6283.3679999999995</v>
      </c>
      <c r="AG142" s="69">
        <f t="shared" si="90"/>
        <v>6197.6879999999992</v>
      </c>
      <c r="AH142" s="69">
        <f t="shared" si="90"/>
        <v>7125.6</v>
      </c>
      <c r="AI142" s="69">
        <f t="shared" si="90"/>
        <v>7112.0160000000005</v>
      </c>
      <c r="AJ142" s="69">
        <f t="shared" si="90"/>
        <v>7239.7280000000001</v>
      </c>
      <c r="AK142" s="69">
        <f t="shared" si="90"/>
        <v>8240.2020000000011</v>
      </c>
      <c r="AL142" s="69">
        <f t="shared" si="90"/>
        <v>7349.9520000000011</v>
      </c>
      <c r="AN142" s="195" t="s">
        <v>7</v>
      </c>
      <c r="AO142" s="98">
        <f t="shared" ref="AO142:AW142" si="114">H142/H142</f>
        <v>1</v>
      </c>
      <c r="AP142" s="98">
        <f t="shared" si="114"/>
        <v>1</v>
      </c>
      <c r="AQ142" s="98">
        <f t="shared" si="114"/>
        <v>1</v>
      </c>
      <c r="AR142" s="98">
        <f t="shared" si="114"/>
        <v>1</v>
      </c>
      <c r="AS142" s="98">
        <f t="shared" si="114"/>
        <v>1</v>
      </c>
      <c r="AT142" s="98">
        <f t="shared" si="114"/>
        <v>1</v>
      </c>
      <c r="AU142" s="98">
        <f t="shared" si="114"/>
        <v>1</v>
      </c>
      <c r="AV142" s="98">
        <f t="shared" si="114"/>
        <v>1</v>
      </c>
      <c r="AW142" s="98">
        <f t="shared" si="114"/>
        <v>1</v>
      </c>
      <c r="AX142" s="191"/>
      <c r="AY142" s="195" t="s">
        <v>7</v>
      </c>
      <c r="AZ142" s="178">
        <f t="shared" si="88"/>
        <v>1.3999999999999999E-2</v>
      </c>
      <c r="BA142" s="178">
        <f t="shared" si="88"/>
        <v>1.6E-2</v>
      </c>
      <c r="BB142" s="178">
        <f t="shared" si="88"/>
        <v>1.3999999999999999E-2</v>
      </c>
      <c r="BC142" s="178">
        <f t="shared" si="88"/>
        <v>1.3999999999999999E-2</v>
      </c>
      <c r="BD142" s="178">
        <f t="shared" si="88"/>
        <v>1.6E-2</v>
      </c>
      <c r="BE142" s="178">
        <f t="shared" si="88"/>
        <v>1.6E-2</v>
      </c>
      <c r="BF142" s="178">
        <f t="shared" si="88"/>
        <v>1.6E-2</v>
      </c>
      <c r="BG142" s="178">
        <f t="shared" si="88"/>
        <v>1.8000000000000002E-2</v>
      </c>
      <c r="BH142" s="178">
        <f t="shared" si="88"/>
        <v>1.6E-2</v>
      </c>
      <c r="BI142" s="191"/>
      <c r="BJ142" s="191"/>
      <c r="BK142" s="191"/>
      <c r="BL142" s="191"/>
      <c r="BM142" s="191"/>
      <c r="BN142" s="191"/>
      <c r="BO142" s="191"/>
      <c r="BP142" s="191"/>
    </row>
    <row r="143" spans="2:68" s="108" customFormat="1" x14ac:dyDescent="0.25">
      <c r="B143" s="107"/>
      <c r="E143" s="109" t="s">
        <v>46</v>
      </c>
      <c r="F143" s="110" t="s">
        <v>60</v>
      </c>
      <c r="G143" s="111" t="s">
        <v>54</v>
      </c>
      <c r="H143" s="112">
        <v>133735</v>
      </c>
      <c r="I143" s="112">
        <v>110559</v>
      </c>
      <c r="J143" s="112">
        <v>103662</v>
      </c>
      <c r="K143" s="112">
        <v>110150</v>
      </c>
      <c r="L143" s="112">
        <v>102779</v>
      </c>
      <c r="M143" s="112">
        <v>103074</v>
      </c>
      <c r="N143" s="112">
        <v>94052</v>
      </c>
      <c r="O143" s="112">
        <v>99090</v>
      </c>
      <c r="P143" s="112">
        <v>95648</v>
      </c>
      <c r="R143" s="111" t="s">
        <v>54</v>
      </c>
      <c r="S143" s="220">
        <v>3.3</v>
      </c>
      <c r="T143" s="220">
        <v>4.2</v>
      </c>
      <c r="U143" s="220">
        <v>4</v>
      </c>
      <c r="V143" s="220">
        <v>3.8</v>
      </c>
      <c r="W143" s="220">
        <v>4.0999999999999996</v>
      </c>
      <c r="X143" s="220">
        <v>4.5</v>
      </c>
      <c r="Y143" s="220">
        <v>4.5999999999999996</v>
      </c>
      <c r="Z143" s="220">
        <v>4.8</v>
      </c>
      <c r="AA143" s="220">
        <v>4.8</v>
      </c>
      <c r="AB143" s="126"/>
      <c r="AC143" s="111" t="s">
        <v>54</v>
      </c>
      <c r="AD143" s="112">
        <f t="shared" si="90"/>
        <v>8826.51</v>
      </c>
      <c r="AE143" s="112">
        <f t="shared" si="90"/>
        <v>9286.9560000000001</v>
      </c>
      <c r="AF143" s="112">
        <f t="shared" si="90"/>
        <v>8292.9599999999991</v>
      </c>
      <c r="AG143" s="112">
        <f t="shared" si="90"/>
        <v>8371.4</v>
      </c>
      <c r="AH143" s="112">
        <f t="shared" si="90"/>
        <v>8427.8779999999988</v>
      </c>
      <c r="AI143" s="112">
        <f t="shared" si="90"/>
        <v>9276.66</v>
      </c>
      <c r="AJ143" s="112">
        <f t="shared" si="90"/>
        <v>8652.7839999999997</v>
      </c>
      <c r="AK143" s="112">
        <f t="shared" si="90"/>
        <v>9512.64</v>
      </c>
      <c r="AL143" s="112">
        <f t="shared" si="90"/>
        <v>9182.2079999999987</v>
      </c>
      <c r="AN143" s="111" t="s">
        <v>54</v>
      </c>
      <c r="AO143" s="113">
        <f t="shared" ref="AO143:AW143" si="115">H143/H142</f>
        <v>0.29003344162462968</v>
      </c>
      <c r="AP143" s="113">
        <f t="shared" si="115"/>
        <v>0.24027774759307152</v>
      </c>
      <c r="AQ143" s="113">
        <f t="shared" si="115"/>
        <v>0.23096976016684045</v>
      </c>
      <c r="AR143" s="113">
        <f t="shared" si="115"/>
        <v>0.24881859170710111</v>
      </c>
      <c r="AS143" s="113">
        <f t="shared" si="115"/>
        <v>0.2307825305939149</v>
      </c>
      <c r="AT143" s="113">
        <f t="shared" si="115"/>
        <v>0.23188699238021962</v>
      </c>
      <c r="AU143" s="113">
        <f t="shared" si="115"/>
        <v>0.20785753276918692</v>
      </c>
      <c r="AV143" s="113">
        <f t="shared" si="115"/>
        <v>0.21645343160276895</v>
      </c>
      <c r="AW143" s="113">
        <f t="shared" si="115"/>
        <v>0.20821469310275767</v>
      </c>
      <c r="AY143" s="111" t="s">
        <v>54</v>
      </c>
      <c r="AZ143" s="179">
        <f t="shared" si="88"/>
        <v>1.9142207147225559E-2</v>
      </c>
      <c r="BA143" s="179">
        <f t="shared" si="88"/>
        <v>2.0183330797818009E-2</v>
      </c>
      <c r="BB143" s="179">
        <f t="shared" si="88"/>
        <v>1.8477580813347237E-2</v>
      </c>
      <c r="BC143" s="179">
        <f t="shared" si="88"/>
        <v>1.8910212969739684E-2</v>
      </c>
      <c r="BD143" s="179">
        <f t="shared" si="88"/>
        <v>1.8924167508701021E-2</v>
      </c>
      <c r="BE143" s="179">
        <f t="shared" si="88"/>
        <v>2.0869829314219768E-2</v>
      </c>
      <c r="BF143" s="179">
        <f t="shared" si="88"/>
        <v>1.9122893014765194E-2</v>
      </c>
      <c r="BG143" s="179">
        <f t="shared" si="88"/>
        <v>2.077952943386582E-2</v>
      </c>
      <c r="BH143" s="179">
        <f t="shared" si="88"/>
        <v>1.9988610537864736E-2</v>
      </c>
    </row>
    <row r="144" spans="2:68" s="108" customFormat="1" x14ac:dyDescent="0.25">
      <c r="B144" s="107"/>
      <c r="E144" s="109" t="s">
        <v>46</v>
      </c>
      <c r="F144" s="110" t="s">
        <v>60</v>
      </c>
      <c r="G144" s="111" t="s">
        <v>55</v>
      </c>
      <c r="H144" s="70">
        <v>127172</v>
      </c>
      <c r="I144" s="70">
        <v>139216</v>
      </c>
      <c r="J144" s="70">
        <v>147518</v>
      </c>
      <c r="K144" s="70">
        <v>138065</v>
      </c>
      <c r="L144" s="70">
        <v>137688</v>
      </c>
      <c r="M144" s="70">
        <v>138489</v>
      </c>
      <c r="N144" s="70">
        <v>144513</v>
      </c>
      <c r="O144" s="112">
        <v>132523</v>
      </c>
      <c r="P144" s="112">
        <v>141230</v>
      </c>
      <c r="R144" s="111" t="s">
        <v>55</v>
      </c>
      <c r="S144" s="81">
        <v>3.3</v>
      </c>
      <c r="T144" s="81">
        <v>3.7</v>
      </c>
      <c r="U144" s="81">
        <v>3.5</v>
      </c>
      <c r="V144" s="81">
        <v>3.3</v>
      </c>
      <c r="W144" s="81">
        <v>3.6</v>
      </c>
      <c r="X144" s="81">
        <v>3.4</v>
      </c>
      <c r="Y144" s="81">
        <v>3.8</v>
      </c>
      <c r="Z144" s="81">
        <v>4.0999999999999996</v>
      </c>
      <c r="AA144" s="81">
        <v>3.9</v>
      </c>
      <c r="AB144" s="126"/>
      <c r="AC144" s="111" t="s">
        <v>55</v>
      </c>
      <c r="AD144" s="70">
        <f t="shared" si="90"/>
        <v>8393.351999999999</v>
      </c>
      <c r="AE144" s="70">
        <f t="shared" si="90"/>
        <v>10301.984</v>
      </c>
      <c r="AF144" s="70">
        <f t="shared" si="90"/>
        <v>10326.26</v>
      </c>
      <c r="AG144" s="70">
        <f t="shared" si="90"/>
        <v>9112.2900000000009</v>
      </c>
      <c r="AH144" s="70">
        <f t="shared" si="90"/>
        <v>9913.5360000000001</v>
      </c>
      <c r="AI144" s="70">
        <f t="shared" si="90"/>
        <v>9417.2520000000004</v>
      </c>
      <c r="AJ144" s="70">
        <f t="shared" si="90"/>
        <v>10982.988000000001</v>
      </c>
      <c r="AK144" s="70">
        <f t="shared" si="90"/>
        <v>10866.885999999999</v>
      </c>
      <c r="AL144" s="70">
        <f t="shared" si="90"/>
        <v>11015.94</v>
      </c>
      <c r="AN144" s="111" t="s">
        <v>55</v>
      </c>
      <c r="AO144" s="113">
        <f t="shared" ref="AO144:AW144" si="116">H144/H142</f>
        <v>0.27580014834028044</v>
      </c>
      <c r="AP144" s="113">
        <f t="shared" si="116"/>
        <v>0.30255797274683244</v>
      </c>
      <c r="AQ144" s="113">
        <f t="shared" si="116"/>
        <v>0.32868550751762432</v>
      </c>
      <c r="AR144" s="113">
        <f t="shared" si="116"/>
        <v>0.31187597697722119</v>
      </c>
      <c r="AS144" s="113">
        <f t="shared" si="116"/>
        <v>0.30916807005725833</v>
      </c>
      <c r="AT144" s="113">
        <f t="shared" si="116"/>
        <v>0.31156060391315205</v>
      </c>
      <c r="AU144" s="113">
        <f t="shared" si="116"/>
        <v>0.31937774457824936</v>
      </c>
      <c r="AV144" s="113">
        <f t="shared" si="116"/>
        <v>0.28948489369556718</v>
      </c>
      <c r="AW144" s="113">
        <f t="shared" si="116"/>
        <v>0.30744146356329949</v>
      </c>
      <c r="AY144" s="111" t="s">
        <v>55</v>
      </c>
      <c r="AZ144" s="179">
        <f t="shared" si="88"/>
        <v>1.8202809790458508E-2</v>
      </c>
      <c r="BA144" s="179">
        <f t="shared" si="88"/>
        <v>2.2389289983265601E-2</v>
      </c>
      <c r="BB144" s="179">
        <f t="shared" si="88"/>
        <v>2.3007985526233701E-2</v>
      </c>
      <c r="BC144" s="179">
        <f t="shared" si="88"/>
        <v>2.05838144804966E-2</v>
      </c>
      <c r="BD144" s="179">
        <f t="shared" si="88"/>
        <v>2.2260101044122602E-2</v>
      </c>
      <c r="BE144" s="179">
        <f t="shared" si="88"/>
        <v>2.1186121066094341E-2</v>
      </c>
      <c r="BF144" s="179">
        <f t="shared" si="88"/>
        <v>2.4272708587946949E-2</v>
      </c>
      <c r="BG144" s="179">
        <f t="shared" si="88"/>
        <v>2.3737761283036507E-2</v>
      </c>
      <c r="BH144" s="179">
        <f t="shared" si="88"/>
        <v>2.3980434157937359E-2</v>
      </c>
    </row>
    <row r="145" spans="2:68" s="108" customFormat="1" x14ac:dyDescent="0.25">
      <c r="B145" s="107"/>
      <c r="E145" s="109" t="s">
        <v>46</v>
      </c>
      <c r="F145" s="110" t="s">
        <v>60</v>
      </c>
      <c r="G145" s="111" t="s">
        <v>130</v>
      </c>
      <c r="H145" s="70">
        <v>49514</v>
      </c>
      <c r="I145" s="70">
        <v>60140</v>
      </c>
      <c r="J145" s="70">
        <v>53224</v>
      </c>
      <c r="K145" s="70">
        <v>49899</v>
      </c>
      <c r="L145" s="70">
        <v>53257</v>
      </c>
      <c r="M145" s="70">
        <v>51300</v>
      </c>
      <c r="N145" s="70">
        <v>51674</v>
      </c>
      <c r="O145" s="112">
        <v>48786</v>
      </c>
      <c r="P145" s="112">
        <v>47839</v>
      </c>
      <c r="R145" s="111" t="s">
        <v>130</v>
      </c>
      <c r="S145" s="220">
        <v>6.2</v>
      </c>
      <c r="T145" s="220">
        <v>5.8</v>
      </c>
      <c r="U145" s="220">
        <v>6</v>
      </c>
      <c r="V145" s="220">
        <v>6.1</v>
      </c>
      <c r="W145" s="220">
        <v>6.2</v>
      </c>
      <c r="X145" s="220">
        <v>6.7</v>
      </c>
      <c r="Y145" s="220">
        <v>6.5</v>
      </c>
      <c r="Z145" s="220">
        <v>7.6</v>
      </c>
      <c r="AA145" s="220">
        <v>7.4</v>
      </c>
      <c r="AB145" s="126"/>
      <c r="AC145" s="111" t="s">
        <v>130</v>
      </c>
      <c r="AD145" s="70">
        <f t="shared" si="90"/>
        <v>6139.7359999999999</v>
      </c>
      <c r="AE145" s="70">
        <f t="shared" si="90"/>
        <v>6976.24</v>
      </c>
      <c r="AF145" s="70">
        <f t="shared" si="90"/>
        <v>6386.88</v>
      </c>
      <c r="AG145" s="70">
        <f t="shared" si="90"/>
        <v>6087.677999999999</v>
      </c>
      <c r="AH145" s="70">
        <f t="shared" si="90"/>
        <v>6603.8680000000004</v>
      </c>
      <c r="AI145" s="70">
        <f t="shared" si="90"/>
        <v>6874.2</v>
      </c>
      <c r="AJ145" s="70">
        <f t="shared" si="90"/>
        <v>6717.62</v>
      </c>
      <c r="AK145" s="70">
        <f t="shared" si="90"/>
        <v>7415.4719999999998</v>
      </c>
      <c r="AL145" s="70">
        <f t="shared" si="90"/>
        <v>7080.1720000000005</v>
      </c>
      <c r="AN145" s="111" t="s">
        <v>130</v>
      </c>
      <c r="AO145" s="113">
        <f t="shared" ref="AO145:AW145" si="117">H145/H142</f>
        <v>0.10738188079860855</v>
      </c>
      <c r="AP145" s="113">
        <f t="shared" si="117"/>
        <v>0.13070219285853998</v>
      </c>
      <c r="AQ145" s="113">
        <f t="shared" si="117"/>
        <v>0.11858862953753464</v>
      </c>
      <c r="AR145" s="113">
        <f t="shared" si="117"/>
        <v>0.11271719389553007</v>
      </c>
      <c r="AS145" s="113">
        <f t="shared" si="117"/>
        <v>0.11958459638486583</v>
      </c>
      <c r="AT145" s="113">
        <f t="shared" si="117"/>
        <v>0.11541031403753872</v>
      </c>
      <c r="AU145" s="113">
        <f t="shared" si="117"/>
        <v>0.11420097550626211</v>
      </c>
      <c r="AV145" s="113">
        <f t="shared" si="117"/>
        <v>0.10656874673703387</v>
      </c>
      <c r="AW145" s="113">
        <f t="shared" si="117"/>
        <v>0.10413999982584921</v>
      </c>
      <c r="AY145" s="111" t="s">
        <v>130</v>
      </c>
      <c r="AZ145" s="179">
        <f t="shared" si="88"/>
        <v>1.3315353219027461E-2</v>
      </c>
      <c r="BA145" s="179">
        <f t="shared" si="88"/>
        <v>1.5161454371590636E-2</v>
      </c>
      <c r="BB145" s="179">
        <f t="shared" si="88"/>
        <v>1.4230635544504157E-2</v>
      </c>
      <c r="BC145" s="179">
        <f t="shared" ref="BC145:BH156" si="118">2*(V145*AR145/100)</f>
        <v>1.3751497655254668E-2</v>
      </c>
      <c r="BD145" s="179">
        <f t="shared" si="118"/>
        <v>1.4828489951723365E-2</v>
      </c>
      <c r="BE145" s="179">
        <f t="shared" si="118"/>
        <v>1.546498208103019E-2</v>
      </c>
      <c r="BF145" s="179">
        <f t="shared" si="118"/>
        <v>1.4846126815814074E-2</v>
      </c>
      <c r="BG145" s="179">
        <f t="shared" si="118"/>
        <v>1.6198449504029145E-2</v>
      </c>
      <c r="BH145" s="179">
        <f t="shared" si="118"/>
        <v>1.5412719974225685E-2</v>
      </c>
    </row>
    <row r="146" spans="2:68" s="108" customFormat="1" x14ac:dyDescent="0.25">
      <c r="B146" s="107"/>
      <c r="E146" s="109" t="s">
        <v>46</v>
      </c>
      <c r="F146" s="110" t="s">
        <v>60</v>
      </c>
      <c r="G146" s="111" t="s">
        <v>131</v>
      </c>
      <c r="H146" s="112">
        <v>150419</v>
      </c>
      <c r="I146" s="112">
        <v>148113</v>
      </c>
      <c r="J146" s="112">
        <v>143847</v>
      </c>
      <c r="K146" s="112">
        <v>143315</v>
      </c>
      <c r="L146" s="112">
        <v>150749</v>
      </c>
      <c r="M146" s="112">
        <v>150863</v>
      </c>
      <c r="N146" s="112">
        <v>160904</v>
      </c>
      <c r="O146" s="112">
        <v>177390</v>
      </c>
      <c r="P146" s="112">
        <v>174656</v>
      </c>
      <c r="R146" s="111" t="s">
        <v>131</v>
      </c>
      <c r="S146" s="220">
        <v>2.9</v>
      </c>
      <c r="T146" s="220">
        <v>3.2</v>
      </c>
      <c r="U146" s="220">
        <v>3.5</v>
      </c>
      <c r="V146" s="220">
        <v>3.3</v>
      </c>
      <c r="W146" s="220">
        <v>3.1</v>
      </c>
      <c r="X146" s="220">
        <v>2.6</v>
      </c>
      <c r="Y146" s="220">
        <v>3.1</v>
      </c>
      <c r="Z146" s="220">
        <v>3.6</v>
      </c>
      <c r="AA146" s="220">
        <v>3.4</v>
      </c>
      <c r="AB146" s="126"/>
      <c r="AC146" s="111" t="s">
        <v>131</v>
      </c>
      <c r="AD146" s="112">
        <f t="shared" si="90"/>
        <v>8724.3019999999997</v>
      </c>
      <c r="AE146" s="112">
        <f t="shared" si="90"/>
        <v>9479.232</v>
      </c>
      <c r="AF146" s="112">
        <f t="shared" si="90"/>
        <v>10069.290000000001</v>
      </c>
      <c r="AG146" s="112">
        <f t="shared" si="90"/>
        <v>9458.7900000000009</v>
      </c>
      <c r="AH146" s="112">
        <f t="shared" si="90"/>
        <v>9346.4380000000001</v>
      </c>
      <c r="AI146" s="112">
        <f t="shared" si="90"/>
        <v>7844.8760000000002</v>
      </c>
      <c r="AJ146" s="112">
        <f t="shared" si="90"/>
        <v>9976.0480000000007</v>
      </c>
      <c r="AK146" s="112">
        <f t="shared" si="90"/>
        <v>12772.08</v>
      </c>
      <c r="AL146" s="112">
        <f t="shared" si="90"/>
        <v>11876.608</v>
      </c>
      <c r="AN146" s="111" t="s">
        <v>131</v>
      </c>
      <c r="AO146" s="113">
        <f t="shared" ref="AO146:AW146" si="119">H146/H142</f>
        <v>0.32621632523823363</v>
      </c>
      <c r="AP146" s="113">
        <f t="shared" si="119"/>
        <v>0.32189381261817313</v>
      </c>
      <c r="AQ146" s="113">
        <f t="shared" si="119"/>
        <v>0.32050613619956686</v>
      </c>
      <c r="AR146" s="113">
        <f t="shared" si="119"/>
        <v>0.32373523804360593</v>
      </c>
      <c r="AS146" s="113">
        <f t="shared" si="119"/>
        <v>0.33849556528573033</v>
      </c>
      <c r="AT146" s="113">
        <f t="shared" si="119"/>
        <v>0.33939856153304493</v>
      </c>
      <c r="AU146" s="113">
        <f t="shared" si="119"/>
        <v>0.3556023099210357</v>
      </c>
      <c r="AV146" s="113">
        <f t="shared" si="119"/>
        <v>0.38749292796462997</v>
      </c>
      <c r="AW146" s="113">
        <f t="shared" si="119"/>
        <v>0.38020602039305834</v>
      </c>
      <c r="AY146" s="111" t="s">
        <v>131</v>
      </c>
      <c r="AZ146" s="179">
        <f t="shared" ref="AZ146:BB156" si="120">2*(S146*AO146/100)</f>
        <v>1.8920546863817549E-2</v>
      </c>
      <c r="BA146" s="179">
        <f t="shared" si="120"/>
        <v>2.060120400756308E-2</v>
      </c>
      <c r="BB146" s="179">
        <f t="shared" si="120"/>
        <v>2.2435429533969681E-2</v>
      </c>
      <c r="BC146" s="179">
        <f t="shared" si="118"/>
        <v>2.1366525710877989E-2</v>
      </c>
      <c r="BD146" s="179">
        <f t="shared" si="118"/>
        <v>2.0986725047715281E-2</v>
      </c>
      <c r="BE146" s="179">
        <f t="shared" si="118"/>
        <v>1.7648725199718336E-2</v>
      </c>
      <c r="BF146" s="179">
        <f t="shared" si="118"/>
        <v>2.2047343215104216E-2</v>
      </c>
      <c r="BG146" s="179">
        <f t="shared" si="118"/>
        <v>2.7899490813453359E-2</v>
      </c>
      <c r="BH146" s="179">
        <f t="shared" si="118"/>
        <v>2.5854009386727966E-2</v>
      </c>
    </row>
    <row r="147" spans="2:68" s="191" customFormat="1" x14ac:dyDescent="0.25">
      <c r="B147" s="186"/>
      <c r="C147" s="195"/>
      <c r="D147" s="195"/>
      <c r="E147" s="109" t="s">
        <v>4</v>
      </c>
      <c r="F147" s="110" t="s">
        <v>60</v>
      </c>
      <c r="G147" s="195" t="s">
        <v>7</v>
      </c>
      <c r="H147" s="200">
        <v>227148</v>
      </c>
      <c r="I147" s="200">
        <v>226254</v>
      </c>
      <c r="J147" s="200">
        <v>219552</v>
      </c>
      <c r="K147" s="200">
        <v>215772</v>
      </c>
      <c r="L147" s="200">
        <v>217025</v>
      </c>
      <c r="M147" s="200">
        <v>216953</v>
      </c>
      <c r="N147" s="200">
        <v>221638</v>
      </c>
      <c r="O147" s="200">
        <v>224522</v>
      </c>
      <c r="P147" s="200">
        <v>225343</v>
      </c>
      <c r="R147" s="195" t="s">
        <v>7</v>
      </c>
      <c r="S147" s="226">
        <v>1</v>
      </c>
      <c r="T147" s="226">
        <v>1.1000000000000001</v>
      </c>
      <c r="U147" s="226">
        <v>1</v>
      </c>
      <c r="V147" s="226">
        <v>1</v>
      </c>
      <c r="W147" s="226">
        <v>1.1000000000000001</v>
      </c>
      <c r="X147" s="226">
        <v>1.2</v>
      </c>
      <c r="Y147" s="226">
        <v>1</v>
      </c>
      <c r="Z147" s="226">
        <v>1.2</v>
      </c>
      <c r="AA147" s="226">
        <v>1.2</v>
      </c>
      <c r="AB147" s="202"/>
      <c r="AC147" s="195" t="s">
        <v>7</v>
      </c>
      <c r="AD147" s="69">
        <f t="shared" si="90"/>
        <v>4542.96</v>
      </c>
      <c r="AE147" s="69">
        <f t="shared" si="90"/>
        <v>4977.5880000000006</v>
      </c>
      <c r="AF147" s="69">
        <f t="shared" si="90"/>
        <v>4391.04</v>
      </c>
      <c r="AG147" s="69">
        <f t="shared" si="90"/>
        <v>4315.4399999999996</v>
      </c>
      <c r="AH147" s="69">
        <f t="shared" si="90"/>
        <v>4774.55</v>
      </c>
      <c r="AI147" s="69">
        <f t="shared" si="90"/>
        <v>5206.8719999999994</v>
      </c>
      <c r="AJ147" s="69">
        <f t="shared" si="90"/>
        <v>4432.76</v>
      </c>
      <c r="AK147" s="69">
        <f t="shared" si="90"/>
        <v>5388.5279999999993</v>
      </c>
      <c r="AL147" s="69">
        <f t="shared" si="90"/>
        <v>5408.232</v>
      </c>
      <c r="AN147" s="195" t="s">
        <v>7</v>
      </c>
      <c r="AO147" s="177">
        <f t="shared" ref="AO147:AW147" si="121">H147/H147</f>
        <v>1</v>
      </c>
      <c r="AP147" s="177">
        <f t="shared" si="121"/>
        <v>1</v>
      </c>
      <c r="AQ147" s="177">
        <f t="shared" si="121"/>
        <v>1</v>
      </c>
      <c r="AR147" s="177">
        <f t="shared" si="121"/>
        <v>1</v>
      </c>
      <c r="AS147" s="177">
        <f t="shared" si="121"/>
        <v>1</v>
      </c>
      <c r="AT147" s="177">
        <f t="shared" si="121"/>
        <v>1</v>
      </c>
      <c r="AU147" s="177">
        <f t="shared" si="121"/>
        <v>1</v>
      </c>
      <c r="AV147" s="177">
        <f t="shared" si="121"/>
        <v>1</v>
      </c>
      <c r="AW147" s="177">
        <f t="shared" si="121"/>
        <v>1</v>
      </c>
      <c r="AY147" s="195" t="s">
        <v>7</v>
      </c>
      <c r="AZ147" s="203">
        <f t="shared" si="120"/>
        <v>0.02</v>
      </c>
      <c r="BA147" s="203">
        <f t="shared" si="120"/>
        <v>2.2000000000000002E-2</v>
      </c>
      <c r="BB147" s="203">
        <f t="shared" si="120"/>
        <v>0.02</v>
      </c>
      <c r="BC147" s="203">
        <f t="shared" si="118"/>
        <v>0.02</v>
      </c>
      <c r="BD147" s="203">
        <f t="shared" si="118"/>
        <v>2.2000000000000002E-2</v>
      </c>
      <c r="BE147" s="203">
        <f t="shared" si="118"/>
        <v>2.4E-2</v>
      </c>
      <c r="BF147" s="203">
        <f t="shared" si="118"/>
        <v>0.02</v>
      </c>
      <c r="BG147" s="203">
        <f t="shared" si="118"/>
        <v>2.4E-2</v>
      </c>
      <c r="BH147" s="203">
        <f t="shared" si="118"/>
        <v>2.4E-2</v>
      </c>
    </row>
    <row r="148" spans="2:68" s="108" customFormat="1" x14ac:dyDescent="0.25">
      <c r="B148" s="107"/>
      <c r="E148" s="109" t="s">
        <v>4</v>
      </c>
      <c r="F148" s="110" t="s">
        <v>60</v>
      </c>
      <c r="G148" s="111" t="s">
        <v>54</v>
      </c>
      <c r="H148" s="112">
        <v>69878</v>
      </c>
      <c r="I148" s="112">
        <v>60662</v>
      </c>
      <c r="J148" s="112">
        <v>51389</v>
      </c>
      <c r="K148" s="112">
        <v>60487</v>
      </c>
      <c r="L148" s="112">
        <v>55987</v>
      </c>
      <c r="M148" s="112">
        <v>58554</v>
      </c>
      <c r="N148" s="112">
        <v>52033</v>
      </c>
      <c r="O148" s="112">
        <v>53186</v>
      </c>
      <c r="P148" s="112">
        <v>54543</v>
      </c>
      <c r="R148" s="111" t="s">
        <v>54</v>
      </c>
      <c r="S148" s="220">
        <v>4.7</v>
      </c>
      <c r="T148" s="220">
        <v>5.5</v>
      </c>
      <c r="U148" s="220">
        <v>5.7</v>
      </c>
      <c r="V148" s="220">
        <v>4.9000000000000004</v>
      </c>
      <c r="W148" s="220">
        <v>5.6</v>
      </c>
      <c r="X148" s="220">
        <v>5.8</v>
      </c>
      <c r="Y148" s="220">
        <v>6.2</v>
      </c>
      <c r="Z148" s="220">
        <v>7</v>
      </c>
      <c r="AA148" s="220">
        <v>6.6</v>
      </c>
      <c r="AB148" s="126"/>
      <c r="AC148" s="111" t="s">
        <v>54</v>
      </c>
      <c r="AD148" s="112">
        <f t="shared" si="90"/>
        <v>6568.5320000000011</v>
      </c>
      <c r="AE148" s="112">
        <f t="shared" si="90"/>
        <v>6672.82</v>
      </c>
      <c r="AF148" s="112">
        <f t="shared" si="90"/>
        <v>5858.3459999999995</v>
      </c>
      <c r="AG148" s="112">
        <f t="shared" si="90"/>
        <v>5927.7260000000006</v>
      </c>
      <c r="AH148" s="112">
        <f t="shared" si="90"/>
        <v>6270.543999999999</v>
      </c>
      <c r="AI148" s="112">
        <f t="shared" si="90"/>
        <v>6792.2640000000001</v>
      </c>
      <c r="AJ148" s="112">
        <f t="shared" si="90"/>
        <v>6452.0920000000006</v>
      </c>
      <c r="AK148" s="112">
        <f t="shared" si="90"/>
        <v>7446.04</v>
      </c>
      <c r="AL148" s="112">
        <f t="shared" si="90"/>
        <v>7199.6759999999995</v>
      </c>
      <c r="AN148" s="111" t="s">
        <v>54</v>
      </c>
      <c r="AO148" s="113">
        <f t="shared" ref="AO148:AW148" si="122">H148/H147</f>
        <v>0.30763202845721732</v>
      </c>
      <c r="AP148" s="113">
        <f t="shared" si="122"/>
        <v>0.26811459686900563</v>
      </c>
      <c r="AQ148" s="113">
        <f t="shared" si="122"/>
        <v>0.23406300102025943</v>
      </c>
      <c r="AR148" s="113">
        <f t="shared" si="122"/>
        <v>0.28032830951189219</v>
      </c>
      <c r="AS148" s="113">
        <f t="shared" si="122"/>
        <v>0.2579748876857505</v>
      </c>
      <c r="AT148" s="113">
        <f t="shared" si="122"/>
        <v>0.26989255737417783</v>
      </c>
      <c r="AU148" s="113">
        <f t="shared" si="122"/>
        <v>0.23476569902273076</v>
      </c>
      <c r="AV148" s="113">
        <f t="shared" si="122"/>
        <v>0.23688547224770848</v>
      </c>
      <c r="AW148" s="113">
        <f t="shared" si="122"/>
        <v>0.24204435016840994</v>
      </c>
      <c r="AY148" s="111" t="s">
        <v>54</v>
      </c>
      <c r="AZ148" s="204">
        <f t="shared" si="120"/>
        <v>2.8917410674978428E-2</v>
      </c>
      <c r="BA148" s="204">
        <f t="shared" si="120"/>
        <v>2.9492605655590622E-2</v>
      </c>
      <c r="BB148" s="204">
        <f t="shared" si="120"/>
        <v>2.6683182116309573E-2</v>
      </c>
      <c r="BC148" s="204">
        <f t="shared" si="118"/>
        <v>2.7472174332165436E-2</v>
      </c>
      <c r="BD148" s="204">
        <f t="shared" si="118"/>
        <v>2.8893187420804056E-2</v>
      </c>
      <c r="BE148" s="204">
        <f t="shared" si="118"/>
        <v>3.1307536655404623E-2</v>
      </c>
      <c r="BF148" s="204">
        <f t="shared" si="118"/>
        <v>2.9110946678818618E-2</v>
      </c>
      <c r="BG148" s="204">
        <f t="shared" si="118"/>
        <v>3.3163966114679186E-2</v>
      </c>
      <c r="BH148" s="204">
        <f t="shared" si="118"/>
        <v>3.1949854222230109E-2</v>
      </c>
    </row>
    <row r="149" spans="2:68" s="108" customFormat="1" x14ac:dyDescent="0.25">
      <c r="B149" s="107"/>
      <c r="E149" s="109" t="s">
        <v>4</v>
      </c>
      <c r="F149" s="110" t="s">
        <v>60</v>
      </c>
      <c r="G149" s="111" t="s">
        <v>55</v>
      </c>
      <c r="H149" s="205">
        <v>75545</v>
      </c>
      <c r="I149" s="205">
        <v>81630</v>
      </c>
      <c r="J149" s="205">
        <v>82850</v>
      </c>
      <c r="K149" s="205">
        <v>76410</v>
      </c>
      <c r="L149" s="205">
        <v>71830</v>
      </c>
      <c r="M149" s="205">
        <v>76276</v>
      </c>
      <c r="N149" s="205">
        <v>74599</v>
      </c>
      <c r="O149" s="112">
        <v>74339</v>
      </c>
      <c r="P149" s="112">
        <v>72879</v>
      </c>
      <c r="R149" s="111" t="s">
        <v>55</v>
      </c>
      <c r="S149" s="81">
        <v>4.3</v>
      </c>
      <c r="T149" s="81">
        <v>4.5999999999999996</v>
      </c>
      <c r="U149" s="81">
        <v>4.5999999999999996</v>
      </c>
      <c r="V149" s="81">
        <v>4.5999999999999996</v>
      </c>
      <c r="W149" s="81">
        <v>5.0999999999999996</v>
      </c>
      <c r="X149" s="81">
        <v>5.5</v>
      </c>
      <c r="Y149" s="81">
        <v>5.4</v>
      </c>
      <c r="Z149" s="81">
        <v>5.8</v>
      </c>
      <c r="AA149" s="81">
        <v>5.2</v>
      </c>
      <c r="AB149" s="126"/>
      <c r="AC149" s="111" t="s">
        <v>55</v>
      </c>
      <c r="AD149" s="70">
        <f t="shared" si="90"/>
        <v>6496.87</v>
      </c>
      <c r="AE149" s="70">
        <f t="shared" si="90"/>
        <v>7509.96</v>
      </c>
      <c r="AF149" s="70">
        <f t="shared" si="90"/>
        <v>7622.1999999999989</v>
      </c>
      <c r="AG149" s="70">
        <f t="shared" si="90"/>
        <v>7029.72</v>
      </c>
      <c r="AH149" s="70">
        <f t="shared" si="90"/>
        <v>7326.66</v>
      </c>
      <c r="AI149" s="70">
        <f t="shared" si="90"/>
        <v>8390.36</v>
      </c>
      <c r="AJ149" s="70">
        <f t="shared" si="90"/>
        <v>8056.6920000000009</v>
      </c>
      <c r="AK149" s="70">
        <f t="shared" si="90"/>
        <v>8623.3240000000005</v>
      </c>
      <c r="AL149" s="70">
        <f t="shared" si="90"/>
        <v>7579.4160000000002</v>
      </c>
      <c r="AN149" s="111" t="s">
        <v>55</v>
      </c>
      <c r="AO149" s="113">
        <f t="shared" ref="AO149:AW149" si="123">H149/H147</f>
        <v>0.33258052018947998</v>
      </c>
      <c r="AP149" s="113">
        <f t="shared" si="123"/>
        <v>0.36078920151687927</v>
      </c>
      <c r="AQ149" s="113">
        <f t="shared" si="123"/>
        <v>0.37735934994898701</v>
      </c>
      <c r="AR149" s="113">
        <f t="shared" si="123"/>
        <v>0.3541237973416384</v>
      </c>
      <c r="AS149" s="113">
        <f t="shared" si="123"/>
        <v>0.33097569404446492</v>
      </c>
      <c r="AT149" s="113">
        <f t="shared" si="123"/>
        <v>0.35157845247588188</v>
      </c>
      <c r="AU149" s="113">
        <f t="shared" si="123"/>
        <v>0.33658036979218364</v>
      </c>
      <c r="AV149" s="113">
        <f t="shared" si="123"/>
        <v>0.33109895689509267</v>
      </c>
      <c r="AW149" s="113">
        <f t="shared" si="123"/>
        <v>0.32341364053908928</v>
      </c>
      <c r="AY149" s="111" t="s">
        <v>55</v>
      </c>
      <c r="AZ149" s="204">
        <f t="shared" si="120"/>
        <v>2.8601924736295276E-2</v>
      </c>
      <c r="BA149" s="204">
        <f t="shared" si="120"/>
        <v>3.3192606539552888E-2</v>
      </c>
      <c r="BB149" s="204">
        <f t="shared" si="120"/>
        <v>3.4717060195306806E-2</v>
      </c>
      <c r="BC149" s="204">
        <f t="shared" si="118"/>
        <v>3.2579389355430727E-2</v>
      </c>
      <c r="BD149" s="204">
        <f t="shared" si="118"/>
        <v>3.375952079253542E-2</v>
      </c>
      <c r="BE149" s="204">
        <f t="shared" si="118"/>
        <v>3.8673629772347007E-2</v>
      </c>
      <c r="BF149" s="204">
        <f t="shared" si="118"/>
        <v>3.6350679937555835E-2</v>
      </c>
      <c r="BG149" s="204">
        <f t="shared" si="118"/>
        <v>3.8407478999830748E-2</v>
      </c>
      <c r="BH149" s="204">
        <f t="shared" si="118"/>
        <v>3.3635018616065285E-2</v>
      </c>
    </row>
    <row r="150" spans="2:68" s="108" customFormat="1" x14ac:dyDescent="0.25">
      <c r="B150" s="107"/>
      <c r="E150" s="109" t="s">
        <v>4</v>
      </c>
      <c r="F150" s="110" t="s">
        <v>60</v>
      </c>
      <c r="G150" s="111" t="s">
        <v>130</v>
      </c>
      <c r="H150" s="205">
        <v>20515</v>
      </c>
      <c r="I150" s="205">
        <v>25356</v>
      </c>
      <c r="J150" s="205">
        <v>24558</v>
      </c>
      <c r="K150" s="205">
        <v>21453</v>
      </c>
      <c r="L150" s="205">
        <v>27428</v>
      </c>
      <c r="M150" s="205">
        <v>22676</v>
      </c>
      <c r="N150" s="205">
        <v>25716</v>
      </c>
      <c r="O150" s="112">
        <v>21422</v>
      </c>
      <c r="P150" s="112">
        <v>22698</v>
      </c>
      <c r="R150" s="111" t="s">
        <v>130</v>
      </c>
      <c r="S150" s="220">
        <v>9.6</v>
      </c>
      <c r="T150" s="220">
        <v>8.5</v>
      </c>
      <c r="U150" s="220">
        <v>9</v>
      </c>
      <c r="V150" s="220">
        <v>9.4</v>
      </c>
      <c r="W150" s="220">
        <v>9</v>
      </c>
      <c r="X150" s="220">
        <v>10.7</v>
      </c>
      <c r="Y150" s="220">
        <v>9.5</v>
      </c>
      <c r="Z150" s="220">
        <v>11.3</v>
      </c>
      <c r="AA150" s="220">
        <v>10.5</v>
      </c>
      <c r="AB150" s="126"/>
      <c r="AC150" s="111" t="s">
        <v>130</v>
      </c>
      <c r="AD150" s="70">
        <f t="shared" si="90"/>
        <v>3938.88</v>
      </c>
      <c r="AE150" s="70">
        <f t="shared" si="90"/>
        <v>4310.5200000000004</v>
      </c>
      <c r="AF150" s="70">
        <f t="shared" si="90"/>
        <v>4420.4399999999996</v>
      </c>
      <c r="AG150" s="70">
        <f t="shared" si="90"/>
        <v>4033.1640000000002</v>
      </c>
      <c r="AH150" s="70">
        <f t="shared" si="90"/>
        <v>4937.04</v>
      </c>
      <c r="AI150" s="70">
        <f t="shared" si="90"/>
        <v>4852.6639999999998</v>
      </c>
      <c r="AJ150" s="70">
        <f t="shared" si="90"/>
        <v>4886.04</v>
      </c>
      <c r="AK150" s="70">
        <f t="shared" si="90"/>
        <v>4841.3720000000003</v>
      </c>
      <c r="AL150" s="70">
        <f t="shared" si="90"/>
        <v>4766.58</v>
      </c>
      <c r="AN150" s="111" t="s">
        <v>130</v>
      </c>
      <c r="AO150" s="113">
        <f t="shared" ref="AO150:AW150" si="124">H150/H147</f>
        <v>9.0315565182171972E-2</v>
      </c>
      <c r="AP150" s="113">
        <f t="shared" si="124"/>
        <v>0.11206873690630884</v>
      </c>
      <c r="AQ150" s="113">
        <f t="shared" si="124"/>
        <v>0.11185505028421514</v>
      </c>
      <c r="AR150" s="113">
        <f t="shared" si="124"/>
        <v>9.942439241421501E-2</v>
      </c>
      <c r="AS150" s="113">
        <f t="shared" si="124"/>
        <v>0.12638175325423337</v>
      </c>
      <c r="AT150" s="113">
        <f t="shared" si="124"/>
        <v>0.10452033389720354</v>
      </c>
      <c r="AU150" s="113">
        <f t="shared" si="124"/>
        <v>0.11602703507521274</v>
      </c>
      <c r="AV150" s="113">
        <f t="shared" si="124"/>
        <v>9.5411585501643498E-2</v>
      </c>
      <c r="AW150" s="113">
        <f t="shared" si="124"/>
        <v>0.10072644812574609</v>
      </c>
      <c r="AY150" s="111" t="s">
        <v>130</v>
      </c>
      <c r="AZ150" s="204">
        <f t="shared" si="120"/>
        <v>1.7340588514977016E-2</v>
      </c>
      <c r="BA150" s="204">
        <f t="shared" si="120"/>
        <v>1.9051685274072503E-2</v>
      </c>
      <c r="BB150" s="204">
        <f t="shared" si="120"/>
        <v>2.0133909051158722E-2</v>
      </c>
      <c r="BC150" s="204">
        <f t="shared" si="118"/>
        <v>1.8691785773872423E-2</v>
      </c>
      <c r="BD150" s="204">
        <f t="shared" si="118"/>
        <v>2.2748715585762004E-2</v>
      </c>
      <c r="BE150" s="204">
        <f t="shared" si="118"/>
        <v>2.2367351454001559E-2</v>
      </c>
      <c r="BF150" s="204">
        <f t="shared" si="118"/>
        <v>2.2045136664290421E-2</v>
      </c>
      <c r="BG150" s="204">
        <f t="shared" si="118"/>
        <v>2.1563018323371434E-2</v>
      </c>
      <c r="BH150" s="204">
        <f t="shared" si="118"/>
        <v>2.1152554106406679E-2</v>
      </c>
    </row>
    <row r="151" spans="2:68" s="108" customFormat="1" x14ac:dyDescent="0.25">
      <c r="B151" s="107"/>
      <c r="E151" s="109" t="s">
        <v>4</v>
      </c>
      <c r="F151" s="110" t="s">
        <v>60</v>
      </c>
      <c r="G151" s="111" t="s">
        <v>131</v>
      </c>
      <c r="H151" s="112">
        <v>60948</v>
      </c>
      <c r="I151" s="112">
        <v>57199</v>
      </c>
      <c r="J151" s="112">
        <v>60489</v>
      </c>
      <c r="K151" s="112">
        <v>56793</v>
      </c>
      <c r="L151" s="112">
        <v>61353</v>
      </c>
      <c r="M151" s="112">
        <v>59204</v>
      </c>
      <c r="N151" s="112">
        <v>68497</v>
      </c>
      <c r="O151" s="112">
        <v>75575</v>
      </c>
      <c r="P151" s="112">
        <v>75224</v>
      </c>
      <c r="R151" s="111" t="s">
        <v>131</v>
      </c>
      <c r="S151" s="220">
        <v>5.0999999999999996</v>
      </c>
      <c r="T151" s="220">
        <v>5.9</v>
      </c>
      <c r="U151" s="220">
        <v>5.2</v>
      </c>
      <c r="V151" s="220">
        <v>4.9000000000000004</v>
      </c>
      <c r="W151" s="220">
        <v>5.3</v>
      </c>
      <c r="X151" s="220">
        <v>5.8</v>
      </c>
      <c r="Y151" s="220">
        <v>5</v>
      </c>
      <c r="Z151" s="220">
        <v>5.8</v>
      </c>
      <c r="AA151" s="220">
        <v>5</v>
      </c>
      <c r="AB151" s="126"/>
      <c r="AC151" s="111" t="s">
        <v>131</v>
      </c>
      <c r="AD151" s="112">
        <f t="shared" si="90"/>
        <v>6216.6959999999999</v>
      </c>
      <c r="AE151" s="112">
        <f t="shared" si="90"/>
        <v>6749.4820000000009</v>
      </c>
      <c r="AF151" s="112">
        <f t="shared" si="90"/>
        <v>6290.8559999999998</v>
      </c>
      <c r="AG151" s="112">
        <f t="shared" si="90"/>
        <v>5565.7139999999999</v>
      </c>
      <c r="AH151" s="112">
        <f t="shared" si="90"/>
        <v>6503.4179999999997</v>
      </c>
      <c r="AI151" s="112">
        <f t="shared" si="90"/>
        <v>6867.6640000000007</v>
      </c>
      <c r="AJ151" s="112">
        <f t="shared" si="90"/>
        <v>6849.7</v>
      </c>
      <c r="AK151" s="112">
        <f t="shared" si="90"/>
        <v>8766.7000000000007</v>
      </c>
      <c r="AL151" s="112">
        <f t="shared" si="90"/>
        <v>7522.4</v>
      </c>
      <c r="AN151" s="111" t="s">
        <v>131</v>
      </c>
      <c r="AO151" s="113">
        <f t="shared" ref="AO151:AW151" si="125">H151/H147</f>
        <v>0.26831845316709813</v>
      </c>
      <c r="AP151" s="113">
        <f t="shared" si="125"/>
        <v>0.25280879012083762</v>
      </c>
      <c r="AQ151" s="113">
        <f t="shared" si="125"/>
        <v>0.27551104066462617</v>
      </c>
      <c r="AR151" s="113">
        <f t="shared" si="125"/>
        <v>0.26320838663033203</v>
      </c>
      <c r="AS151" s="113">
        <f t="shared" si="125"/>
        <v>0.28270014975233271</v>
      </c>
      <c r="AT151" s="113">
        <f t="shared" si="125"/>
        <v>0.27288859799127002</v>
      </c>
      <c r="AU151" s="113">
        <f t="shared" si="125"/>
        <v>0.30904898979416889</v>
      </c>
      <c r="AV151" s="113">
        <f t="shared" si="125"/>
        <v>0.33660398535555536</v>
      </c>
      <c r="AW151" s="113">
        <f t="shared" si="125"/>
        <v>0.33381999884620334</v>
      </c>
      <c r="AY151" s="111" t="s">
        <v>131</v>
      </c>
      <c r="AZ151" s="204">
        <f t="shared" si="120"/>
        <v>2.736848222304401E-2</v>
      </c>
      <c r="BA151" s="204">
        <f t="shared" si="120"/>
        <v>2.983143723425884E-2</v>
      </c>
      <c r="BB151" s="204">
        <f t="shared" si="120"/>
        <v>2.8653148229121125E-2</v>
      </c>
      <c r="BC151" s="204">
        <f t="shared" si="118"/>
        <v>2.5794421889772542E-2</v>
      </c>
      <c r="BD151" s="204">
        <f t="shared" si="118"/>
        <v>2.9966215873747263E-2</v>
      </c>
      <c r="BE151" s="204">
        <f t="shared" si="118"/>
        <v>3.1655077366987319E-2</v>
      </c>
      <c r="BF151" s="204">
        <f t="shared" si="118"/>
        <v>3.0904898979416888E-2</v>
      </c>
      <c r="BG151" s="204">
        <f t="shared" si="118"/>
        <v>3.9046062301244418E-2</v>
      </c>
      <c r="BH151" s="204">
        <f t="shared" si="118"/>
        <v>3.3381999884620338E-2</v>
      </c>
    </row>
    <row r="152" spans="2:68" s="191" customFormat="1" x14ac:dyDescent="0.25">
      <c r="B152" s="186"/>
      <c r="C152" s="195"/>
      <c r="D152" s="195"/>
      <c r="E152" s="109" t="s">
        <v>5</v>
      </c>
      <c r="F152" s="110" t="s">
        <v>60</v>
      </c>
      <c r="G152" s="195" t="s">
        <v>7</v>
      </c>
      <c r="H152" s="200">
        <v>233954</v>
      </c>
      <c r="I152" s="200">
        <v>233876</v>
      </c>
      <c r="J152" s="200">
        <v>229260</v>
      </c>
      <c r="K152" s="200">
        <v>226920</v>
      </c>
      <c r="L152" s="200">
        <v>228325</v>
      </c>
      <c r="M152" s="200">
        <v>227548</v>
      </c>
      <c r="N152" s="200">
        <v>230845</v>
      </c>
      <c r="O152" s="200">
        <v>233267</v>
      </c>
      <c r="P152" s="200">
        <v>234029</v>
      </c>
      <c r="R152" s="195" t="s">
        <v>7</v>
      </c>
      <c r="S152" s="226">
        <v>1</v>
      </c>
      <c r="T152" s="226">
        <v>1.1000000000000001</v>
      </c>
      <c r="U152" s="226">
        <v>1</v>
      </c>
      <c r="V152" s="226">
        <v>1</v>
      </c>
      <c r="W152" s="226">
        <v>1.1000000000000001</v>
      </c>
      <c r="X152" s="226">
        <v>1.2</v>
      </c>
      <c r="Y152" s="226">
        <v>1</v>
      </c>
      <c r="Z152" s="226">
        <v>1.2</v>
      </c>
      <c r="AA152" s="226">
        <v>1.2</v>
      </c>
      <c r="AB152" s="202"/>
      <c r="AC152" s="195" t="s">
        <v>7</v>
      </c>
      <c r="AD152" s="69">
        <f t="shared" si="90"/>
        <v>4679.08</v>
      </c>
      <c r="AE152" s="69">
        <f t="shared" si="90"/>
        <v>5145.2720000000008</v>
      </c>
      <c r="AF152" s="69">
        <f t="shared" si="90"/>
        <v>4585.2</v>
      </c>
      <c r="AG152" s="69">
        <f t="shared" si="90"/>
        <v>4538.3999999999996</v>
      </c>
      <c r="AH152" s="69">
        <f t="shared" si="90"/>
        <v>5023.1500000000005</v>
      </c>
      <c r="AI152" s="69">
        <f t="shared" si="90"/>
        <v>5461.1519999999991</v>
      </c>
      <c r="AJ152" s="69">
        <f t="shared" si="90"/>
        <v>4616.8999999999996</v>
      </c>
      <c r="AK152" s="69">
        <f t="shared" si="90"/>
        <v>5598.4079999999994</v>
      </c>
      <c r="AL152" s="69">
        <f t="shared" si="90"/>
        <v>5616.6959999999999</v>
      </c>
      <c r="AN152" s="195" t="s">
        <v>7</v>
      </c>
      <c r="AO152" s="177">
        <f t="shared" ref="AO152:AW152" si="126">H152/H152</f>
        <v>1</v>
      </c>
      <c r="AP152" s="177">
        <f t="shared" si="126"/>
        <v>1</v>
      </c>
      <c r="AQ152" s="177">
        <f t="shared" si="126"/>
        <v>1</v>
      </c>
      <c r="AR152" s="177">
        <f t="shared" si="126"/>
        <v>1</v>
      </c>
      <c r="AS152" s="177">
        <f t="shared" si="126"/>
        <v>1</v>
      </c>
      <c r="AT152" s="177">
        <f t="shared" si="126"/>
        <v>1</v>
      </c>
      <c r="AU152" s="177">
        <f t="shared" si="126"/>
        <v>1</v>
      </c>
      <c r="AV152" s="177">
        <f t="shared" si="126"/>
        <v>1</v>
      </c>
      <c r="AW152" s="177">
        <f t="shared" si="126"/>
        <v>1</v>
      </c>
      <c r="AY152" s="195" t="s">
        <v>7</v>
      </c>
      <c r="AZ152" s="203">
        <f t="shared" si="120"/>
        <v>0.02</v>
      </c>
      <c r="BA152" s="203">
        <f t="shared" si="120"/>
        <v>2.2000000000000002E-2</v>
      </c>
      <c r="BB152" s="203">
        <f t="shared" si="120"/>
        <v>0.02</v>
      </c>
      <c r="BC152" s="203">
        <f t="shared" si="118"/>
        <v>0.02</v>
      </c>
      <c r="BD152" s="203">
        <f t="shared" si="118"/>
        <v>2.2000000000000002E-2</v>
      </c>
      <c r="BE152" s="203">
        <f t="shared" si="118"/>
        <v>2.4E-2</v>
      </c>
      <c r="BF152" s="203">
        <f t="shared" si="118"/>
        <v>0.02</v>
      </c>
      <c r="BG152" s="203">
        <f t="shared" si="118"/>
        <v>2.4E-2</v>
      </c>
      <c r="BH152" s="203">
        <f t="shared" si="118"/>
        <v>2.4E-2</v>
      </c>
    </row>
    <row r="153" spans="2:68" s="108" customFormat="1" x14ac:dyDescent="0.25">
      <c r="B153" s="107"/>
      <c r="E153" s="109" t="s">
        <v>5</v>
      </c>
      <c r="F153" s="110" t="s">
        <v>60</v>
      </c>
      <c r="G153" s="111" t="s">
        <v>54</v>
      </c>
      <c r="H153" s="112">
        <v>63857</v>
      </c>
      <c r="I153" s="112">
        <v>49897</v>
      </c>
      <c r="J153" s="112">
        <v>52273</v>
      </c>
      <c r="K153" s="112">
        <v>49663</v>
      </c>
      <c r="L153" s="112">
        <v>46792</v>
      </c>
      <c r="M153" s="112">
        <v>44520</v>
      </c>
      <c r="N153" s="112">
        <v>42019</v>
      </c>
      <c r="O153" s="112">
        <v>45904</v>
      </c>
      <c r="P153" s="112">
        <v>41105</v>
      </c>
      <c r="R153" s="111" t="s">
        <v>54</v>
      </c>
      <c r="S153" s="220">
        <v>4.9000000000000004</v>
      </c>
      <c r="T153" s="220">
        <v>6.3</v>
      </c>
      <c r="U153" s="220">
        <v>5.8</v>
      </c>
      <c r="V153" s="220">
        <v>5.9</v>
      </c>
      <c r="W153" s="220">
        <v>6</v>
      </c>
      <c r="X153" s="220">
        <v>6.9</v>
      </c>
      <c r="Y153" s="220">
        <v>7.1</v>
      </c>
      <c r="Z153" s="220">
        <v>7.6</v>
      </c>
      <c r="AA153" s="220">
        <v>7.6</v>
      </c>
      <c r="AB153" s="126"/>
      <c r="AC153" s="111" t="s">
        <v>54</v>
      </c>
      <c r="AD153" s="112">
        <f t="shared" si="90"/>
        <v>6257.9860000000008</v>
      </c>
      <c r="AE153" s="112">
        <f t="shared" si="90"/>
        <v>6287.0219999999999</v>
      </c>
      <c r="AF153" s="112">
        <f t="shared" si="90"/>
        <v>6063.6679999999997</v>
      </c>
      <c r="AG153" s="112">
        <f t="shared" si="90"/>
        <v>5860.2340000000004</v>
      </c>
      <c r="AH153" s="112">
        <f t="shared" si="90"/>
        <v>5615.04</v>
      </c>
      <c r="AI153" s="112">
        <f t="shared" si="90"/>
        <v>6143.76</v>
      </c>
      <c r="AJ153" s="112">
        <f t="shared" si="90"/>
        <v>5966.6979999999994</v>
      </c>
      <c r="AK153" s="112">
        <f t="shared" si="90"/>
        <v>6977.4079999999994</v>
      </c>
      <c r="AL153" s="112">
        <f t="shared" si="90"/>
        <v>6247.96</v>
      </c>
      <c r="AN153" s="111" t="s">
        <v>54</v>
      </c>
      <c r="AO153" s="113">
        <f t="shared" ref="AO153:AW153" si="127">H153/H152</f>
        <v>0.27294681860536685</v>
      </c>
      <c r="AP153" s="113">
        <f t="shared" si="127"/>
        <v>0.21334809899262858</v>
      </c>
      <c r="AQ153" s="113">
        <f t="shared" si="127"/>
        <v>0.22800750239902295</v>
      </c>
      <c r="AR153" s="113">
        <f t="shared" si="127"/>
        <v>0.21885686585580821</v>
      </c>
      <c r="AS153" s="113">
        <f t="shared" si="127"/>
        <v>0.20493594656739297</v>
      </c>
      <c r="AT153" s="113">
        <f t="shared" si="127"/>
        <v>0.19565102747552165</v>
      </c>
      <c r="AU153" s="113">
        <f t="shared" si="127"/>
        <v>0.18202256925642749</v>
      </c>
      <c r="AV153" s="113">
        <f t="shared" si="127"/>
        <v>0.19678737241015659</v>
      </c>
      <c r="AW153" s="113">
        <f t="shared" si="127"/>
        <v>0.17564062573441752</v>
      </c>
      <c r="AY153" s="111" t="s">
        <v>54</v>
      </c>
      <c r="AZ153" s="204">
        <f t="shared" si="120"/>
        <v>2.6748788223325954E-2</v>
      </c>
      <c r="BA153" s="204">
        <f t="shared" si="120"/>
        <v>2.6881860473071201E-2</v>
      </c>
      <c r="BB153" s="204">
        <f t="shared" si="120"/>
        <v>2.6448870278286664E-2</v>
      </c>
      <c r="BC153" s="204">
        <f t="shared" si="118"/>
        <v>2.582511017098537E-2</v>
      </c>
      <c r="BD153" s="204">
        <f t="shared" si="118"/>
        <v>2.4592313588087156E-2</v>
      </c>
      <c r="BE153" s="204">
        <f t="shared" si="118"/>
        <v>2.699984179162199E-2</v>
      </c>
      <c r="BF153" s="204">
        <f t="shared" si="118"/>
        <v>2.5847204834412701E-2</v>
      </c>
      <c r="BG153" s="204">
        <f t="shared" si="118"/>
        <v>2.9911680606343801E-2</v>
      </c>
      <c r="BH153" s="204">
        <f t="shared" si="118"/>
        <v>2.669737511163146E-2</v>
      </c>
    </row>
    <row r="154" spans="2:68" s="108" customFormat="1" x14ac:dyDescent="0.25">
      <c r="B154" s="107"/>
      <c r="E154" s="109" t="s">
        <v>5</v>
      </c>
      <c r="F154" s="110" t="s">
        <v>60</v>
      </c>
      <c r="G154" s="111" t="s">
        <v>55</v>
      </c>
      <c r="H154" s="205">
        <v>51627</v>
      </c>
      <c r="I154" s="205">
        <v>57586</v>
      </c>
      <c r="J154" s="205">
        <v>64668</v>
      </c>
      <c r="K154" s="205">
        <v>61655</v>
      </c>
      <c r="L154" s="205">
        <v>65858</v>
      </c>
      <c r="M154" s="205">
        <v>62213</v>
      </c>
      <c r="N154" s="205">
        <v>69914</v>
      </c>
      <c r="O154" s="112">
        <v>58184</v>
      </c>
      <c r="P154" s="112">
        <v>68351</v>
      </c>
      <c r="R154" s="111" t="s">
        <v>55</v>
      </c>
      <c r="S154" s="81">
        <v>5.6</v>
      </c>
      <c r="T154" s="81">
        <v>5.9</v>
      </c>
      <c r="U154" s="81">
        <v>5.5</v>
      </c>
      <c r="V154" s="81">
        <v>5.2</v>
      </c>
      <c r="W154" s="81">
        <v>5.4</v>
      </c>
      <c r="X154" s="81">
        <v>6.1</v>
      </c>
      <c r="Y154" s="81">
        <v>5.7</v>
      </c>
      <c r="Z154" s="81">
        <v>6.7</v>
      </c>
      <c r="AA154" s="81">
        <v>5.6</v>
      </c>
      <c r="AB154" s="126"/>
      <c r="AC154" s="111" t="s">
        <v>55</v>
      </c>
      <c r="AD154" s="70">
        <f t="shared" si="90"/>
        <v>5782.2239999999993</v>
      </c>
      <c r="AE154" s="70">
        <f t="shared" si="90"/>
        <v>6795.1480000000001</v>
      </c>
      <c r="AF154" s="70">
        <f t="shared" si="90"/>
        <v>7113.48</v>
      </c>
      <c r="AG154" s="70">
        <f t="shared" si="90"/>
        <v>6412.12</v>
      </c>
      <c r="AH154" s="70">
        <f t="shared" si="90"/>
        <v>7112.6640000000007</v>
      </c>
      <c r="AI154" s="70">
        <f t="shared" si="90"/>
        <v>7589.9859999999999</v>
      </c>
      <c r="AJ154" s="70">
        <f t="shared" si="90"/>
        <v>7970.1959999999999</v>
      </c>
      <c r="AK154" s="70">
        <f t="shared" si="90"/>
        <v>7796.6559999999999</v>
      </c>
      <c r="AL154" s="70">
        <f t="shared" si="90"/>
        <v>7655.3119999999999</v>
      </c>
      <c r="AN154" s="111" t="s">
        <v>55</v>
      </c>
      <c r="AO154" s="113">
        <f t="shared" ref="AO154:AW154" si="128">H154/H152</f>
        <v>0.22067158501243833</v>
      </c>
      <c r="AP154" s="113">
        <f t="shared" si="128"/>
        <v>0.24622449503155519</v>
      </c>
      <c r="AQ154" s="113">
        <f t="shared" si="128"/>
        <v>0.28207275582308294</v>
      </c>
      <c r="AR154" s="113">
        <f t="shared" si="128"/>
        <v>0.27170368411775075</v>
      </c>
      <c r="AS154" s="113">
        <f t="shared" si="128"/>
        <v>0.28843972407752105</v>
      </c>
      <c r="AT154" s="113">
        <f t="shared" si="128"/>
        <v>0.27340605059152356</v>
      </c>
      <c r="AU154" s="113">
        <f t="shared" si="128"/>
        <v>0.30286122723039266</v>
      </c>
      <c r="AV154" s="113">
        <f t="shared" si="128"/>
        <v>0.24943090964431316</v>
      </c>
      <c r="AW154" s="113">
        <f t="shared" si="128"/>
        <v>0.29206209486858464</v>
      </c>
      <c r="AY154" s="111" t="s">
        <v>55</v>
      </c>
      <c r="AZ154" s="204">
        <f t="shared" si="120"/>
        <v>2.4715217521393093E-2</v>
      </c>
      <c r="BA154" s="204">
        <f t="shared" si="120"/>
        <v>2.9054490413723513E-2</v>
      </c>
      <c r="BB154" s="204">
        <f t="shared" si="120"/>
        <v>3.1028003140539124E-2</v>
      </c>
      <c r="BC154" s="204">
        <f t="shared" si="118"/>
        <v>2.825718314824608E-2</v>
      </c>
      <c r="BD154" s="204">
        <f t="shared" si="118"/>
        <v>3.1151490200372275E-2</v>
      </c>
      <c r="BE154" s="204">
        <f t="shared" si="118"/>
        <v>3.3355538172165876E-2</v>
      </c>
      <c r="BF154" s="204">
        <f t="shared" si="118"/>
        <v>3.4526179904264764E-2</v>
      </c>
      <c r="BG154" s="204">
        <f t="shared" si="118"/>
        <v>3.3423741892337967E-2</v>
      </c>
      <c r="BH154" s="204">
        <f t="shared" si="118"/>
        <v>3.271095462528148E-2</v>
      </c>
    </row>
    <row r="155" spans="2:68" s="108" customFormat="1" x14ac:dyDescent="0.25">
      <c r="B155" s="107"/>
      <c r="E155" s="109" t="s">
        <v>5</v>
      </c>
      <c r="F155" s="110" t="s">
        <v>60</v>
      </c>
      <c r="G155" s="111" t="s">
        <v>130</v>
      </c>
      <c r="H155" s="205">
        <v>28999</v>
      </c>
      <c r="I155" s="205">
        <v>34784</v>
      </c>
      <c r="J155" s="205">
        <v>28666</v>
      </c>
      <c r="K155" s="205">
        <v>28446</v>
      </c>
      <c r="L155" s="205">
        <v>25829</v>
      </c>
      <c r="M155" s="205">
        <v>28624</v>
      </c>
      <c r="N155" s="205">
        <v>25958</v>
      </c>
      <c r="O155" s="112">
        <v>27364</v>
      </c>
      <c r="P155" s="112">
        <v>25141</v>
      </c>
      <c r="R155" s="111" t="s">
        <v>130</v>
      </c>
      <c r="S155" s="220">
        <v>8.4</v>
      </c>
      <c r="T155" s="220">
        <v>8.1999999999999993</v>
      </c>
      <c r="U155" s="220">
        <v>8.8000000000000007</v>
      </c>
      <c r="V155" s="220">
        <v>8.4</v>
      </c>
      <c r="W155" s="220">
        <v>9</v>
      </c>
      <c r="X155" s="220">
        <v>9.8000000000000007</v>
      </c>
      <c r="Y155" s="220">
        <v>9.5</v>
      </c>
      <c r="Z155" s="220">
        <v>10.199999999999999</v>
      </c>
      <c r="AA155" s="220">
        <v>9.9</v>
      </c>
      <c r="AB155" s="126"/>
      <c r="AC155" s="111" t="s">
        <v>130</v>
      </c>
      <c r="AD155" s="70">
        <f t="shared" si="90"/>
        <v>4871.8320000000003</v>
      </c>
      <c r="AE155" s="70">
        <f t="shared" si="90"/>
        <v>5704.576</v>
      </c>
      <c r="AF155" s="70">
        <f t="shared" si="90"/>
        <v>5045.2160000000003</v>
      </c>
      <c r="AG155" s="70">
        <f t="shared" si="90"/>
        <v>4778.9280000000008</v>
      </c>
      <c r="AH155" s="70">
        <f t="shared" si="90"/>
        <v>4649.22</v>
      </c>
      <c r="AI155" s="70">
        <f t="shared" si="90"/>
        <v>5610.3040000000001</v>
      </c>
      <c r="AJ155" s="70">
        <f t="shared" si="90"/>
        <v>4932.0200000000004</v>
      </c>
      <c r="AK155" s="70">
        <f t="shared" si="90"/>
        <v>5582.2559999999994</v>
      </c>
      <c r="AL155" s="70">
        <f t="shared" si="90"/>
        <v>4977.9180000000006</v>
      </c>
      <c r="AN155" s="111" t="s">
        <v>130</v>
      </c>
      <c r="AO155" s="113">
        <f t="shared" ref="AO155:AW155" si="129">H155/H152</f>
        <v>0.12395171700419741</v>
      </c>
      <c r="AP155" s="113">
        <f t="shared" si="129"/>
        <v>0.14872838598231541</v>
      </c>
      <c r="AQ155" s="113">
        <f t="shared" si="129"/>
        <v>0.12503707580912501</v>
      </c>
      <c r="AR155" s="113">
        <f t="shared" si="129"/>
        <v>0.1253569539925965</v>
      </c>
      <c r="AS155" s="113">
        <f t="shared" si="129"/>
        <v>0.11312383663637358</v>
      </c>
      <c r="AT155" s="113">
        <f t="shared" si="129"/>
        <v>0.12579323922864627</v>
      </c>
      <c r="AU155" s="113">
        <f t="shared" si="129"/>
        <v>0.11244774632329052</v>
      </c>
      <c r="AV155" s="113">
        <f t="shared" si="129"/>
        <v>0.11730763459897885</v>
      </c>
      <c r="AW155" s="113">
        <f t="shared" si="129"/>
        <v>0.10742685735528502</v>
      </c>
      <c r="AY155" s="111" t="s">
        <v>130</v>
      </c>
      <c r="AZ155" s="204">
        <f t="shared" si="120"/>
        <v>2.0823888456705165E-2</v>
      </c>
      <c r="BA155" s="204">
        <f t="shared" si="120"/>
        <v>2.4391455301099728E-2</v>
      </c>
      <c r="BB155" s="204">
        <f t="shared" si="120"/>
        <v>2.2006525342406005E-2</v>
      </c>
      <c r="BC155" s="204">
        <f t="shared" si="118"/>
        <v>2.1059968270756211E-2</v>
      </c>
      <c r="BD155" s="204">
        <f t="shared" si="118"/>
        <v>2.0362290594547243E-2</v>
      </c>
      <c r="BE155" s="204">
        <f t="shared" si="118"/>
        <v>2.4655474888814671E-2</v>
      </c>
      <c r="BF155" s="204">
        <f t="shared" si="118"/>
        <v>2.13650718014252E-2</v>
      </c>
      <c r="BG155" s="204">
        <f t="shared" si="118"/>
        <v>2.3930757458191683E-2</v>
      </c>
      <c r="BH155" s="204">
        <f t="shared" si="118"/>
        <v>2.1270517756346433E-2</v>
      </c>
    </row>
    <row r="156" spans="2:68" s="108" customFormat="1" x14ac:dyDescent="0.25">
      <c r="B156" s="107"/>
      <c r="E156" s="109" t="s">
        <v>5</v>
      </c>
      <c r="F156" s="110" t="s">
        <v>60</v>
      </c>
      <c r="G156" s="111" t="s">
        <v>131</v>
      </c>
      <c r="H156" s="112">
        <v>89471</v>
      </c>
      <c r="I156" s="112">
        <v>90914</v>
      </c>
      <c r="J156" s="112">
        <v>83358</v>
      </c>
      <c r="K156" s="112">
        <v>86522</v>
      </c>
      <c r="L156" s="112">
        <v>89396</v>
      </c>
      <c r="M156" s="112">
        <v>91659</v>
      </c>
      <c r="N156" s="112">
        <v>92407</v>
      </c>
      <c r="O156" s="112">
        <v>101815</v>
      </c>
      <c r="P156" s="112">
        <v>99432</v>
      </c>
      <c r="R156" s="111" t="s">
        <v>131</v>
      </c>
      <c r="S156" s="220">
        <v>3.8</v>
      </c>
      <c r="T156" s="220">
        <v>4</v>
      </c>
      <c r="U156" s="220">
        <v>4.2</v>
      </c>
      <c r="V156" s="220">
        <v>3.9</v>
      </c>
      <c r="W156" s="220">
        <v>4.2</v>
      </c>
      <c r="X156" s="220">
        <v>4.2</v>
      </c>
      <c r="Y156" s="220">
        <v>3.9</v>
      </c>
      <c r="Z156" s="220">
        <v>4.7</v>
      </c>
      <c r="AA156" s="220">
        <v>4.0999999999999996</v>
      </c>
      <c r="AB156" s="126"/>
      <c r="AC156" s="111" t="s">
        <v>131</v>
      </c>
      <c r="AD156" s="112">
        <f t="shared" si="90"/>
        <v>6799.7959999999994</v>
      </c>
      <c r="AE156" s="112">
        <f t="shared" si="90"/>
        <v>7273.12</v>
      </c>
      <c r="AF156" s="112">
        <f t="shared" si="90"/>
        <v>7002.072000000001</v>
      </c>
      <c r="AG156" s="112">
        <f t="shared" si="90"/>
        <v>6748.7159999999994</v>
      </c>
      <c r="AH156" s="112">
        <f t="shared" si="90"/>
        <v>7509.2640000000001</v>
      </c>
      <c r="AI156" s="112">
        <f t="shared" si="90"/>
        <v>7699.3559999999998</v>
      </c>
      <c r="AJ156" s="112">
        <f t="shared" si="90"/>
        <v>7207.7460000000001</v>
      </c>
      <c r="AK156" s="112">
        <f t="shared" si="90"/>
        <v>9570.61</v>
      </c>
      <c r="AL156" s="112">
        <f t="shared" si="90"/>
        <v>8153.4239999999991</v>
      </c>
      <c r="AN156" s="111" t="s">
        <v>131</v>
      </c>
      <c r="AO156" s="113">
        <f t="shared" ref="AO156:AW156" si="130">H156/H152</f>
        <v>0.38242987937799738</v>
      </c>
      <c r="AP156" s="113">
        <f t="shared" si="130"/>
        <v>0.38872735979749951</v>
      </c>
      <c r="AQ156" s="113">
        <f t="shared" si="130"/>
        <v>0.36359591729913637</v>
      </c>
      <c r="AR156" s="113">
        <f t="shared" si="130"/>
        <v>0.38128855984487925</v>
      </c>
      <c r="AS156" s="113">
        <f t="shared" si="130"/>
        <v>0.39152961786926532</v>
      </c>
      <c r="AT156" s="113">
        <f t="shared" si="130"/>
        <v>0.40281171445145642</v>
      </c>
      <c r="AU156" s="113">
        <f t="shared" si="130"/>
        <v>0.40029890186055578</v>
      </c>
      <c r="AV156" s="113">
        <f t="shared" si="130"/>
        <v>0.43647408334655136</v>
      </c>
      <c r="AW156" s="113">
        <f t="shared" si="130"/>
        <v>0.42487042204171277</v>
      </c>
      <c r="AY156" s="111" t="s">
        <v>131</v>
      </c>
      <c r="AZ156" s="204">
        <f t="shared" si="120"/>
        <v>2.9064670832727801E-2</v>
      </c>
      <c r="BA156" s="204">
        <f t="shared" si="120"/>
        <v>3.1098188783799961E-2</v>
      </c>
      <c r="BB156" s="204">
        <f t="shared" si="120"/>
        <v>3.0542057053127455E-2</v>
      </c>
      <c r="BC156" s="204">
        <f t="shared" si="118"/>
        <v>2.9740507667900581E-2</v>
      </c>
      <c r="BD156" s="204">
        <f t="shared" si="118"/>
        <v>3.2888487901018289E-2</v>
      </c>
      <c r="BE156" s="204">
        <f t="shared" si="118"/>
        <v>3.3836184013922341E-2</v>
      </c>
      <c r="BF156" s="204">
        <f t="shared" si="118"/>
        <v>3.1223314345123349E-2</v>
      </c>
      <c r="BG156" s="204">
        <f t="shared" si="118"/>
        <v>4.1028563834575829E-2</v>
      </c>
      <c r="BH156" s="204">
        <f t="shared" si="118"/>
        <v>3.4839374607420447E-2</v>
      </c>
    </row>
    <row r="157" spans="2:68" x14ac:dyDescent="0.3">
      <c r="H157" s="122" t="s">
        <v>122</v>
      </c>
      <c r="I157" s="121">
        <v>2003</v>
      </c>
      <c r="J157" s="121">
        <v>2005</v>
      </c>
      <c r="K157" s="122" t="s">
        <v>123</v>
      </c>
      <c r="L157" s="122" t="s">
        <v>124</v>
      </c>
      <c r="M157" s="122" t="s">
        <v>125</v>
      </c>
      <c r="N157" s="122" t="s">
        <v>126</v>
      </c>
      <c r="O157" s="122" t="s">
        <v>127</v>
      </c>
      <c r="P157" s="122" t="s">
        <v>128</v>
      </c>
      <c r="R157" s="111"/>
      <c r="S157" s="120" t="s">
        <v>122</v>
      </c>
      <c r="T157" s="121">
        <v>2003</v>
      </c>
      <c r="U157" s="121">
        <v>2005</v>
      </c>
      <c r="V157" s="122" t="s">
        <v>123</v>
      </c>
      <c r="W157" s="122" t="s">
        <v>124</v>
      </c>
      <c r="X157" s="122" t="s">
        <v>125</v>
      </c>
      <c r="Y157" s="122" t="s">
        <v>126</v>
      </c>
      <c r="Z157" s="122" t="s">
        <v>127</v>
      </c>
      <c r="AA157" s="122" t="s">
        <v>128</v>
      </c>
      <c r="AC157" s="197" t="s">
        <v>8</v>
      </c>
      <c r="AD157" s="120" t="s">
        <v>122</v>
      </c>
      <c r="AE157" s="121">
        <v>2003</v>
      </c>
      <c r="AF157" s="121">
        <v>2005</v>
      </c>
      <c r="AG157" s="122" t="s">
        <v>123</v>
      </c>
      <c r="AH157" s="122" t="s">
        <v>124</v>
      </c>
      <c r="AI157" s="122" t="s">
        <v>125</v>
      </c>
      <c r="AJ157" s="122" t="s">
        <v>126</v>
      </c>
      <c r="AK157" s="122" t="s">
        <v>127</v>
      </c>
      <c r="AL157" s="122" t="s">
        <v>128</v>
      </c>
      <c r="AN157" s="197" t="s">
        <v>8</v>
      </c>
      <c r="AO157" s="120" t="s">
        <v>122</v>
      </c>
      <c r="AP157" s="121">
        <v>2003</v>
      </c>
      <c r="AQ157" s="121">
        <v>2005</v>
      </c>
      <c r="AR157" s="122" t="s">
        <v>123</v>
      </c>
      <c r="AS157" s="122" t="s">
        <v>124</v>
      </c>
      <c r="AT157" s="122" t="s">
        <v>125</v>
      </c>
      <c r="AU157" s="122" t="s">
        <v>126</v>
      </c>
      <c r="AV157" s="122" t="s">
        <v>127</v>
      </c>
      <c r="AW157" s="122" t="s">
        <v>128</v>
      </c>
      <c r="AY157" s="197" t="s">
        <v>8</v>
      </c>
      <c r="AZ157" s="120" t="s">
        <v>122</v>
      </c>
      <c r="BA157" s="121">
        <v>2003</v>
      </c>
      <c r="BB157" s="121">
        <v>2005</v>
      </c>
      <c r="BC157" s="122" t="s">
        <v>123</v>
      </c>
      <c r="BD157" s="122" t="s">
        <v>124</v>
      </c>
      <c r="BE157" s="122" t="s">
        <v>125</v>
      </c>
      <c r="BF157" s="122" t="s">
        <v>126</v>
      </c>
      <c r="BG157" s="122" t="s">
        <v>127</v>
      </c>
      <c r="BH157" s="122" t="s">
        <v>128</v>
      </c>
    </row>
    <row r="158" spans="2:68" s="87" customFormat="1" x14ac:dyDescent="0.25">
      <c r="B158" s="84"/>
      <c r="C158" s="85"/>
      <c r="D158" s="85"/>
      <c r="E158" s="109" t="s">
        <v>0</v>
      </c>
      <c r="F158" s="110" t="s">
        <v>53</v>
      </c>
      <c r="G158" s="195" t="s">
        <v>7</v>
      </c>
      <c r="H158" s="69">
        <v>16324</v>
      </c>
      <c r="I158" s="69">
        <v>16561</v>
      </c>
      <c r="J158" s="69">
        <v>16209</v>
      </c>
      <c r="K158" s="69">
        <v>15612</v>
      </c>
      <c r="L158" s="69">
        <v>15563</v>
      </c>
      <c r="M158" s="69">
        <v>15121</v>
      </c>
      <c r="N158" s="69">
        <v>14084</v>
      </c>
      <c r="O158" s="69">
        <v>13278</v>
      </c>
      <c r="P158" s="69">
        <v>12300</v>
      </c>
      <c r="R158" s="195" t="s">
        <v>7</v>
      </c>
      <c r="S158" s="226">
        <v>2</v>
      </c>
      <c r="T158" s="226">
        <v>2.6</v>
      </c>
      <c r="U158" s="226">
        <v>2.6</v>
      </c>
      <c r="V158" s="226">
        <v>2.4</v>
      </c>
      <c r="W158" s="226">
        <v>2.7</v>
      </c>
      <c r="X158" s="226">
        <v>3</v>
      </c>
      <c r="Y158" s="226">
        <v>2.9</v>
      </c>
      <c r="Z158" s="226">
        <v>2.8</v>
      </c>
      <c r="AA158" s="226">
        <v>3</v>
      </c>
      <c r="AB158" s="125"/>
      <c r="AC158" s="195" t="s">
        <v>7</v>
      </c>
      <c r="AD158" s="69">
        <f>2*(H158*S158/100)</f>
        <v>652.96</v>
      </c>
      <c r="AE158" s="69">
        <f t="shared" ref="AE158:AL190" si="131">2*(I158*T158/100)</f>
        <v>861.17200000000003</v>
      </c>
      <c r="AF158" s="69">
        <f t="shared" si="131"/>
        <v>842.86800000000005</v>
      </c>
      <c r="AG158" s="69">
        <f t="shared" si="131"/>
        <v>749.37599999999986</v>
      </c>
      <c r="AH158" s="69">
        <f t="shared" si="131"/>
        <v>840.40200000000016</v>
      </c>
      <c r="AI158" s="69">
        <f t="shared" si="131"/>
        <v>907.26</v>
      </c>
      <c r="AJ158" s="69">
        <f t="shared" si="131"/>
        <v>816.87199999999996</v>
      </c>
      <c r="AK158" s="69">
        <f>2*(O158*Z158/100)</f>
        <v>743.56799999999987</v>
      </c>
      <c r="AL158" s="69">
        <f>2*(P158*AA158/100)</f>
        <v>738</v>
      </c>
      <c r="AN158" s="195" t="s">
        <v>7</v>
      </c>
      <c r="AO158" s="98">
        <f t="shared" ref="AO158:AW158" si="132">H158/H158</f>
        <v>1</v>
      </c>
      <c r="AP158" s="98">
        <f t="shared" si="132"/>
        <v>1</v>
      </c>
      <c r="AQ158" s="98">
        <f t="shared" si="132"/>
        <v>1</v>
      </c>
      <c r="AR158" s="98">
        <f t="shared" si="132"/>
        <v>1</v>
      </c>
      <c r="AS158" s="98">
        <f t="shared" si="132"/>
        <v>1</v>
      </c>
      <c r="AT158" s="98">
        <f t="shared" si="132"/>
        <v>1</v>
      </c>
      <c r="AU158" s="98">
        <f t="shared" si="132"/>
        <v>1</v>
      </c>
      <c r="AV158" s="98">
        <f t="shared" si="132"/>
        <v>1</v>
      </c>
      <c r="AW158" s="98">
        <f t="shared" si="132"/>
        <v>1</v>
      </c>
      <c r="AX158" s="191"/>
      <c r="AY158" s="195" t="s">
        <v>7</v>
      </c>
      <c r="AZ158" s="178">
        <f t="shared" ref="AZ158:BH186" si="133">2*(S158*AO158/100)</f>
        <v>0.04</v>
      </c>
      <c r="BA158" s="178">
        <f t="shared" si="133"/>
        <v>5.2000000000000005E-2</v>
      </c>
      <c r="BB158" s="178">
        <f t="shared" si="133"/>
        <v>5.2000000000000005E-2</v>
      </c>
      <c r="BC158" s="178">
        <f t="shared" si="133"/>
        <v>4.8000000000000001E-2</v>
      </c>
      <c r="BD158" s="178">
        <f t="shared" si="133"/>
        <v>5.4000000000000006E-2</v>
      </c>
      <c r="BE158" s="178">
        <f t="shared" si="133"/>
        <v>0.06</v>
      </c>
      <c r="BF158" s="178">
        <f t="shared" si="133"/>
        <v>5.7999999999999996E-2</v>
      </c>
      <c r="BG158" s="178">
        <f t="shared" si="133"/>
        <v>5.5999999999999994E-2</v>
      </c>
      <c r="BH158" s="178">
        <f t="shared" si="133"/>
        <v>0.06</v>
      </c>
      <c r="BI158" s="191"/>
      <c r="BJ158" s="191"/>
      <c r="BK158" s="191"/>
      <c r="BL158" s="191"/>
      <c r="BM158" s="191"/>
      <c r="BN158" s="191"/>
      <c r="BO158" s="191"/>
      <c r="BP158" s="191"/>
    </row>
    <row r="159" spans="2:68" s="108" customFormat="1" x14ac:dyDescent="0.25">
      <c r="B159" s="107"/>
      <c r="E159" s="109" t="s">
        <v>0</v>
      </c>
      <c r="F159" s="110" t="s">
        <v>53</v>
      </c>
      <c r="G159" s="111" t="s">
        <v>54</v>
      </c>
      <c r="H159" s="112">
        <v>2420</v>
      </c>
      <c r="I159" s="112">
        <v>1883</v>
      </c>
      <c r="J159" s="112">
        <v>1812</v>
      </c>
      <c r="K159" s="112">
        <v>1971</v>
      </c>
      <c r="L159" s="112" t="s">
        <v>57</v>
      </c>
      <c r="M159" s="112" t="s">
        <v>57</v>
      </c>
      <c r="N159" s="112" t="s">
        <v>57</v>
      </c>
      <c r="O159" s="112" t="s">
        <v>129</v>
      </c>
      <c r="P159" s="112" t="s">
        <v>129</v>
      </c>
      <c r="R159" s="111" t="s">
        <v>54</v>
      </c>
      <c r="S159" s="220">
        <v>17.8</v>
      </c>
      <c r="T159" s="220">
        <v>32.200000000000003</v>
      </c>
      <c r="U159" s="220">
        <v>31.2</v>
      </c>
      <c r="V159" s="220">
        <v>28.2</v>
      </c>
      <c r="W159" s="220" t="s">
        <v>57</v>
      </c>
      <c r="X159" s="220" t="s">
        <v>57</v>
      </c>
      <c r="Y159" s="220" t="s">
        <v>57</v>
      </c>
      <c r="Z159" s="220" t="s">
        <v>57</v>
      </c>
      <c r="AA159" s="220" t="s">
        <v>57</v>
      </c>
      <c r="AC159" s="111" t="s">
        <v>54</v>
      </c>
      <c r="AD159" s="112">
        <f>2*(H159*S159/100)</f>
        <v>861.52</v>
      </c>
      <c r="AE159" s="112">
        <f t="shared" si="131"/>
        <v>1212.652</v>
      </c>
      <c r="AF159" s="112">
        <f t="shared" si="131"/>
        <v>1130.6880000000001</v>
      </c>
      <c r="AG159" s="112">
        <f t="shared" si="131"/>
        <v>1111.644</v>
      </c>
      <c r="AH159" s="112" t="e">
        <f t="shared" si="131"/>
        <v>#VALUE!</v>
      </c>
      <c r="AI159" s="112" t="e">
        <f t="shared" si="131"/>
        <v>#VALUE!</v>
      </c>
      <c r="AJ159" s="112" t="e">
        <f t="shared" si="131"/>
        <v>#VALUE!</v>
      </c>
      <c r="AK159" s="112" t="e">
        <f t="shared" si="131"/>
        <v>#VALUE!</v>
      </c>
      <c r="AL159" s="112" t="e">
        <f t="shared" si="131"/>
        <v>#VALUE!</v>
      </c>
      <c r="AN159" s="111" t="s">
        <v>54</v>
      </c>
      <c r="AO159" s="113">
        <f t="shared" ref="AO159:AW159" si="134">H159/H158</f>
        <v>0.14824797843665768</v>
      </c>
      <c r="AP159" s="113">
        <f t="shared" si="134"/>
        <v>0.11370086347442787</v>
      </c>
      <c r="AQ159" s="113">
        <f t="shared" si="134"/>
        <v>0.11178974643716454</v>
      </c>
      <c r="AR159" s="113">
        <f t="shared" si="134"/>
        <v>0.12624903920061492</v>
      </c>
      <c r="AS159" s="113" t="e">
        <f t="shared" si="134"/>
        <v>#VALUE!</v>
      </c>
      <c r="AT159" s="113" t="e">
        <f t="shared" si="134"/>
        <v>#VALUE!</v>
      </c>
      <c r="AU159" s="113" t="e">
        <f t="shared" si="134"/>
        <v>#VALUE!</v>
      </c>
      <c r="AV159" s="113" t="e">
        <f t="shared" si="134"/>
        <v>#VALUE!</v>
      </c>
      <c r="AW159" s="113" t="e">
        <f t="shared" si="134"/>
        <v>#VALUE!</v>
      </c>
      <c r="AY159" s="111" t="s">
        <v>54</v>
      </c>
      <c r="AZ159" s="179">
        <f t="shared" si="133"/>
        <v>5.2776280323450137E-2</v>
      </c>
      <c r="BA159" s="179">
        <f t="shared" si="133"/>
        <v>7.3223356077531554E-2</v>
      </c>
      <c r="BB159" s="179">
        <f t="shared" si="133"/>
        <v>6.9756801776790667E-2</v>
      </c>
      <c r="BC159" s="179">
        <f t="shared" si="133"/>
        <v>7.1204458109146815E-2</v>
      </c>
      <c r="BD159" s="179" t="e">
        <f t="shared" si="133"/>
        <v>#VALUE!</v>
      </c>
      <c r="BE159" s="179" t="e">
        <f t="shared" si="133"/>
        <v>#VALUE!</v>
      </c>
      <c r="BF159" s="179" t="e">
        <f t="shared" si="133"/>
        <v>#VALUE!</v>
      </c>
      <c r="BG159" s="179" t="e">
        <f t="shared" si="133"/>
        <v>#VALUE!</v>
      </c>
      <c r="BH159" s="179" t="e">
        <f t="shared" si="133"/>
        <v>#VALUE!</v>
      </c>
    </row>
    <row r="160" spans="2:68" s="108" customFormat="1" x14ac:dyDescent="0.25">
      <c r="B160" s="107"/>
      <c r="E160" s="109" t="s">
        <v>0</v>
      </c>
      <c r="F160" s="110" t="s">
        <v>53</v>
      </c>
      <c r="G160" s="111" t="s">
        <v>55</v>
      </c>
      <c r="H160" s="70" t="s">
        <v>57</v>
      </c>
      <c r="I160" s="70" t="s">
        <v>57</v>
      </c>
      <c r="J160" s="112" t="s">
        <v>57</v>
      </c>
      <c r="K160" s="112" t="s">
        <v>57</v>
      </c>
      <c r="L160" s="112" t="s">
        <v>57</v>
      </c>
      <c r="M160" s="112" t="s">
        <v>57</v>
      </c>
      <c r="N160" s="112" t="s">
        <v>57</v>
      </c>
      <c r="O160" s="112" t="s">
        <v>129</v>
      </c>
      <c r="P160" s="112" t="s">
        <v>129</v>
      </c>
      <c r="R160" s="111" t="s">
        <v>55</v>
      </c>
      <c r="S160" s="81" t="s">
        <v>57</v>
      </c>
      <c r="T160" s="81" t="s">
        <v>57</v>
      </c>
      <c r="U160" s="81" t="s">
        <v>57</v>
      </c>
      <c r="V160" s="81" t="s">
        <v>57</v>
      </c>
      <c r="W160" s="81" t="s">
        <v>57</v>
      </c>
      <c r="X160" s="81" t="s">
        <v>57</v>
      </c>
      <c r="Y160" s="81" t="s">
        <v>57</v>
      </c>
      <c r="Z160" s="81" t="s">
        <v>57</v>
      </c>
      <c r="AA160" s="81" t="s">
        <v>57</v>
      </c>
      <c r="AC160" s="111" t="s">
        <v>55</v>
      </c>
      <c r="AD160" s="70" t="e">
        <f t="shared" ref="AD160:AE197" si="135">2*(H160*S160/100)</f>
        <v>#VALUE!</v>
      </c>
      <c r="AE160" s="70" t="e">
        <f t="shared" si="131"/>
        <v>#VALUE!</v>
      </c>
      <c r="AF160" s="70" t="e">
        <f t="shared" si="131"/>
        <v>#VALUE!</v>
      </c>
      <c r="AG160" s="70" t="e">
        <f t="shared" si="131"/>
        <v>#VALUE!</v>
      </c>
      <c r="AH160" s="70" t="e">
        <f t="shared" si="131"/>
        <v>#VALUE!</v>
      </c>
      <c r="AI160" s="70" t="e">
        <f t="shared" si="131"/>
        <v>#VALUE!</v>
      </c>
      <c r="AJ160" s="70" t="e">
        <f t="shared" si="131"/>
        <v>#VALUE!</v>
      </c>
      <c r="AK160" s="70" t="e">
        <f t="shared" si="131"/>
        <v>#VALUE!</v>
      </c>
      <c r="AL160" s="70" t="e">
        <f t="shared" si="131"/>
        <v>#VALUE!</v>
      </c>
      <c r="AN160" s="111" t="s">
        <v>55</v>
      </c>
      <c r="AO160" s="113" t="e">
        <f t="shared" ref="AO160:AW160" si="136">H160/H158</f>
        <v>#VALUE!</v>
      </c>
      <c r="AP160" s="113" t="e">
        <f t="shared" si="136"/>
        <v>#VALUE!</v>
      </c>
      <c r="AQ160" s="113" t="e">
        <f t="shared" si="136"/>
        <v>#VALUE!</v>
      </c>
      <c r="AR160" s="113" t="e">
        <f t="shared" si="136"/>
        <v>#VALUE!</v>
      </c>
      <c r="AS160" s="113" t="e">
        <f t="shared" si="136"/>
        <v>#VALUE!</v>
      </c>
      <c r="AT160" s="113" t="e">
        <f t="shared" si="136"/>
        <v>#VALUE!</v>
      </c>
      <c r="AU160" s="113" t="e">
        <f t="shared" si="136"/>
        <v>#VALUE!</v>
      </c>
      <c r="AV160" s="113" t="e">
        <f t="shared" si="136"/>
        <v>#VALUE!</v>
      </c>
      <c r="AW160" s="113" t="e">
        <f t="shared" si="136"/>
        <v>#VALUE!</v>
      </c>
      <c r="AY160" s="111" t="s">
        <v>55</v>
      </c>
      <c r="AZ160" s="179" t="e">
        <f t="shared" si="133"/>
        <v>#VALUE!</v>
      </c>
      <c r="BA160" s="179" t="e">
        <f t="shared" si="133"/>
        <v>#VALUE!</v>
      </c>
      <c r="BB160" s="179" t="e">
        <f t="shared" si="133"/>
        <v>#VALUE!</v>
      </c>
      <c r="BC160" s="179" t="e">
        <f t="shared" si="133"/>
        <v>#VALUE!</v>
      </c>
      <c r="BD160" s="179" t="e">
        <f t="shared" si="133"/>
        <v>#VALUE!</v>
      </c>
      <c r="BE160" s="179" t="e">
        <f t="shared" si="133"/>
        <v>#VALUE!</v>
      </c>
      <c r="BF160" s="179" t="e">
        <f t="shared" si="133"/>
        <v>#VALUE!</v>
      </c>
      <c r="BG160" s="179" t="e">
        <f t="shared" si="133"/>
        <v>#VALUE!</v>
      </c>
      <c r="BH160" s="179" t="e">
        <f t="shared" si="133"/>
        <v>#VALUE!</v>
      </c>
    </row>
    <row r="161" spans="2:68" s="108" customFormat="1" x14ac:dyDescent="0.25">
      <c r="B161" s="107"/>
      <c r="E161" s="109" t="s">
        <v>0</v>
      </c>
      <c r="F161" s="110" t="s">
        <v>53</v>
      </c>
      <c r="G161" s="111" t="s">
        <v>130</v>
      </c>
      <c r="H161" s="70">
        <v>1806</v>
      </c>
      <c r="I161" s="70">
        <v>2031</v>
      </c>
      <c r="J161" s="70">
        <v>1097</v>
      </c>
      <c r="K161" s="70">
        <v>761</v>
      </c>
      <c r="L161" s="70">
        <v>865</v>
      </c>
      <c r="M161" s="70">
        <v>1421</v>
      </c>
      <c r="N161" s="70">
        <v>1149</v>
      </c>
      <c r="O161" s="112" t="s">
        <v>129</v>
      </c>
      <c r="P161" s="112" t="s">
        <v>129</v>
      </c>
      <c r="R161" s="111" t="s">
        <v>130</v>
      </c>
      <c r="S161" s="220">
        <v>24.1</v>
      </c>
      <c r="T161" s="220">
        <v>21.7</v>
      </c>
      <c r="U161" s="220">
        <v>31.2</v>
      </c>
      <c r="V161" s="220">
        <v>0</v>
      </c>
      <c r="W161" s="220">
        <v>0</v>
      </c>
      <c r="X161" s="220">
        <v>35.9</v>
      </c>
      <c r="Y161" s="220">
        <v>32.9</v>
      </c>
      <c r="Z161" s="220" t="s">
        <v>57</v>
      </c>
      <c r="AA161" s="220" t="s">
        <v>57</v>
      </c>
      <c r="AC161" s="111" t="s">
        <v>130</v>
      </c>
      <c r="AD161" s="70">
        <f t="shared" si="135"/>
        <v>870.49200000000008</v>
      </c>
      <c r="AE161" s="70">
        <f t="shared" si="131"/>
        <v>881.45399999999995</v>
      </c>
      <c r="AF161" s="70">
        <f t="shared" si="131"/>
        <v>684.52800000000002</v>
      </c>
      <c r="AG161" s="70">
        <f t="shared" si="131"/>
        <v>0</v>
      </c>
      <c r="AH161" s="70">
        <f t="shared" si="131"/>
        <v>0</v>
      </c>
      <c r="AI161" s="70">
        <f t="shared" si="131"/>
        <v>1020.278</v>
      </c>
      <c r="AJ161" s="70">
        <f t="shared" si="131"/>
        <v>756.04199999999992</v>
      </c>
      <c r="AK161" s="70" t="e">
        <f t="shared" si="131"/>
        <v>#VALUE!</v>
      </c>
      <c r="AL161" s="70" t="e">
        <f t="shared" si="131"/>
        <v>#VALUE!</v>
      </c>
      <c r="AN161" s="111" t="s">
        <v>130</v>
      </c>
      <c r="AO161" s="113">
        <f t="shared" ref="AO161:AW161" si="137">H161/H158</f>
        <v>0.11063464837049743</v>
      </c>
      <c r="AP161" s="113">
        <f t="shared" si="137"/>
        <v>0.12263752188877483</v>
      </c>
      <c r="AQ161" s="113">
        <f t="shared" si="137"/>
        <v>6.7678450243691776E-2</v>
      </c>
      <c r="AR161" s="113">
        <f t="shared" si="137"/>
        <v>4.8744555470151163E-2</v>
      </c>
      <c r="AS161" s="113">
        <f t="shared" si="137"/>
        <v>5.5580543596992868E-2</v>
      </c>
      <c r="AT161" s="113">
        <f t="shared" si="137"/>
        <v>9.3975266186098805E-2</v>
      </c>
      <c r="AU161" s="113">
        <f t="shared" si="137"/>
        <v>8.1581936949730191E-2</v>
      </c>
      <c r="AV161" s="113" t="e">
        <f t="shared" si="137"/>
        <v>#VALUE!</v>
      </c>
      <c r="AW161" s="113" t="e">
        <f t="shared" si="137"/>
        <v>#VALUE!</v>
      </c>
      <c r="AY161" s="111" t="s">
        <v>130</v>
      </c>
      <c r="AZ161" s="179">
        <f t="shared" si="133"/>
        <v>5.3325900514579763E-2</v>
      </c>
      <c r="BA161" s="179">
        <f t="shared" si="133"/>
        <v>5.3224684499728274E-2</v>
      </c>
      <c r="BB161" s="179">
        <f t="shared" si="133"/>
        <v>4.2231352952063671E-2</v>
      </c>
      <c r="BC161" s="179">
        <f t="shared" si="133"/>
        <v>0</v>
      </c>
      <c r="BD161" s="179">
        <f t="shared" si="133"/>
        <v>0</v>
      </c>
      <c r="BE161" s="179">
        <f t="shared" si="133"/>
        <v>6.7474241121618941E-2</v>
      </c>
      <c r="BF161" s="179">
        <f t="shared" si="133"/>
        <v>5.3680914512922458E-2</v>
      </c>
      <c r="BG161" s="179" t="e">
        <f t="shared" si="133"/>
        <v>#VALUE!</v>
      </c>
      <c r="BH161" s="179" t="e">
        <f t="shared" si="133"/>
        <v>#VALUE!</v>
      </c>
    </row>
    <row r="162" spans="2:68" s="108" customFormat="1" x14ac:dyDescent="0.25">
      <c r="B162" s="107"/>
      <c r="E162" s="109" t="s">
        <v>0</v>
      </c>
      <c r="F162" s="110" t="s">
        <v>53</v>
      </c>
      <c r="G162" s="111" t="s">
        <v>131</v>
      </c>
      <c r="H162" s="112">
        <v>11807</v>
      </c>
      <c r="I162" s="112">
        <v>11804</v>
      </c>
      <c r="J162" s="112">
        <v>12954</v>
      </c>
      <c r="K162" s="112">
        <v>12734</v>
      </c>
      <c r="L162" s="112">
        <v>12565</v>
      </c>
      <c r="M162" s="112">
        <v>12399</v>
      </c>
      <c r="N162" s="112">
        <v>11635</v>
      </c>
      <c r="O162" s="112">
        <v>11599</v>
      </c>
      <c r="P162" s="112">
        <v>10702</v>
      </c>
      <c r="R162" s="111" t="s">
        <v>131</v>
      </c>
      <c r="S162" s="220">
        <v>4.2</v>
      </c>
      <c r="T162" s="220">
        <v>9.3000000000000007</v>
      </c>
      <c r="U162" s="220">
        <v>5.2</v>
      </c>
      <c r="V162" s="220">
        <v>4.7</v>
      </c>
      <c r="W162" s="220">
        <v>5.3</v>
      </c>
      <c r="X162" s="220">
        <v>5.8</v>
      </c>
      <c r="Y162" s="220">
        <v>5.6</v>
      </c>
      <c r="Z162" s="220">
        <v>5</v>
      </c>
      <c r="AA162" s="220">
        <v>5.4</v>
      </c>
      <c r="AC162" s="111" t="s">
        <v>131</v>
      </c>
      <c r="AD162" s="112">
        <f t="shared" si="135"/>
        <v>991.78800000000001</v>
      </c>
      <c r="AE162" s="112">
        <f t="shared" si="131"/>
        <v>2195.5440000000003</v>
      </c>
      <c r="AF162" s="112">
        <f t="shared" si="131"/>
        <v>1347.2160000000001</v>
      </c>
      <c r="AG162" s="112">
        <f t="shared" si="131"/>
        <v>1196.9960000000001</v>
      </c>
      <c r="AH162" s="112">
        <f t="shared" si="131"/>
        <v>1331.89</v>
      </c>
      <c r="AI162" s="112">
        <f t="shared" si="131"/>
        <v>1438.2839999999999</v>
      </c>
      <c r="AJ162" s="112">
        <f t="shared" si="131"/>
        <v>1303.1199999999999</v>
      </c>
      <c r="AK162" s="112">
        <f t="shared" si="131"/>
        <v>1159.9000000000001</v>
      </c>
      <c r="AL162" s="112">
        <f t="shared" si="131"/>
        <v>1155.816</v>
      </c>
      <c r="AN162" s="111" t="s">
        <v>131</v>
      </c>
      <c r="AO162" s="113">
        <f t="shared" ref="AO162:AW162" si="138">H162/H158</f>
        <v>0.72329086008331289</v>
      </c>
      <c r="AP162" s="113">
        <f t="shared" si="138"/>
        <v>0.712758891371294</v>
      </c>
      <c r="AQ162" s="113">
        <f t="shared" si="138"/>
        <v>0.79918563760873584</v>
      </c>
      <c r="AR162" s="113">
        <f t="shared" si="138"/>
        <v>0.81565462464770688</v>
      </c>
      <c r="AS162" s="113">
        <f t="shared" si="138"/>
        <v>0.80736361883955532</v>
      </c>
      <c r="AT162" s="113">
        <f t="shared" si="138"/>
        <v>0.81998545069770523</v>
      </c>
      <c r="AU162" s="113">
        <f t="shared" si="138"/>
        <v>0.82611474013064468</v>
      </c>
      <c r="AV162" s="113">
        <f t="shared" si="138"/>
        <v>0.87355023346889593</v>
      </c>
      <c r="AW162" s="113">
        <f t="shared" si="138"/>
        <v>0.87008130081300816</v>
      </c>
      <c r="AY162" s="111" t="s">
        <v>131</v>
      </c>
      <c r="AZ162" s="179">
        <f t="shared" si="133"/>
        <v>6.0756432246998289E-2</v>
      </c>
      <c r="BA162" s="179">
        <f t="shared" si="133"/>
        <v>0.13257315379506068</v>
      </c>
      <c r="BB162" s="179">
        <f t="shared" si="133"/>
        <v>8.3115306311308534E-2</v>
      </c>
      <c r="BC162" s="179">
        <f t="shared" si="133"/>
        <v>7.667153471688444E-2</v>
      </c>
      <c r="BD162" s="179">
        <f t="shared" si="133"/>
        <v>8.5580543596992853E-2</v>
      </c>
      <c r="BE162" s="179">
        <f t="shared" si="133"/>
        <v>9.5118312280933801E-2</v>
      </c>
      <c r="BF162" s="179">
        <f t="shared" si="133"/>
        <v>9.2524850894632193E-2</v>
      </c>
      <c r="BG162" s="179">
        <f t="shared" si="133"/>
        <v>8.735502334688959E-2</v>
      </c>
      <c r="BH162" s="179">
        <f t="shared" si="133"/>
        <v>9.3968780487804882E-2</v>
      </c>
    </row>
    <row r="163" spans="2:68" s="87" customFormat="1" x14ac:dyDescent="0.25">
      <c r="B163" s="84"/>
      <c r="C163" s="85"/>
      <c r="D163" s="85"/>
      <c r="E163" s="109" t="s">
        <v>1</v>
      </c>
      <c r="F163" s="110" t="s">
        <v>53</v>
      </c>
      <c r="G163" s="195" t="s">
        <v>7</v>
      </c>
      <c r="H163" s="69">
        <v>18528</v>
      </c>
      <c r="I163" s="69">
        <v>18686</v>
      </c>
      <c r="J163" s="69">
        <v>17331</v>
      </c>
      <c r="K163" s="69">
        <v>18277</v>
      </c>
      <c r="L163" s="69">
        <v>17572</v>
      </c>
      <c r="M163" s="69">
        <v>17766</v>
      </c>
      <c r="N163" s="69">
        <v>17820</v>
      </c>
      <c r="O163" s="69">
        <v>16266</v>
      </c>
      <c r="P163" s="69">
        <v>18343</v>
      </c>
      <c r="R163" s="195" t="s">
        <v>7</v>
      </c>
      <c r="S163" s="226">
        <v>1.9</v>
      </c>
      <c r="T163" s="226">
        <v>2.4</v>
      </c>
      <c r="U163" s="226">
        <v>2.5</v>
      </c>
      <c r="V163" s="226">
        <v>2.2000000000000002</v>
      </c>
      <c r="W163" s="226">
        <v>2.6</v>
      </c>
      <c r="X163" s="226">
        <v>2.8</v>
      </c>
      <c r="Y163" s="226">
        <v>2.6</v>
      </c>
      <c r="Z163" s="226">
        <v>2.5</v>
      </c>
      <c r="AA163" s="226">
        <v>2.2999999999999998</v>
      </c>
      <c r="AC163" s="195" t="s">
        <v>7</v>
      </c>
      <c r="AD163" s="69">
        <f t="shared" si="135"/>
        <v>704.06399999999996</v>
      </c>
      <c r="AE163" s="69">
        <f t="shared" si="131"/>
        <v>896.928</v>
      </c>
      <c r="AF163" s="69">
        <f t="shared" si="131"/>
        <v>866.55</v>
      </c>
      <c r="AG163" s="69">
        <f t="shared" si="131"/>
        <v>804.18799999999999</v>
      </c>
      <c r="AH163" s="69">
        <f t="shared" si="131"/>
        <v>913.74400000000014</v>
      </c>
      <c r="AI163" s="69">
        <f t="shared" si="131"/>
        <v>994.89599999999996</v>
      </c>
      <c r="AJ163" s="69">
        <f t="shared" si="131"/>
        <v>926.64</v>
      </c>
      <c r="AK163" s="69">
        <f t="shared" si="131"/>
        <v>813.3</v>
      </c>
      <c r="AL163" s="69">
        <f t="shared" si="131"/>
        <v>843.77799999999991</v>
      </c>
      <c r="AN163" s="195" t="s">
        <v>7</v>
      </c>
      <c r="AO163" s="98">
        <f t="shared" ref="AO163:AW163" si="139">H163/H163</f>
        <v>1</v>
      </c>
      <c r="AP163" s="98">
        <f t="shared" si="139"/>
        <v>1</v>
      </c>
      <c r="AQ163" s="98">
        <f t="shared" si="139"/>
        <v>1</v>
      </c>
      <c r="AR163" s="98">
        <f t="shared" si="139"/>
        <v>1</v>
      </c>
      <c r="AS163" s="98">
        <f t="shared" si="139"/>
        <v>1</v>
      </c>
      <c r="AT163" s="98">
        <f t="shared" si="139"/>
        <v>1</v>
      </c>
      <c r="AU163" s="98">
        <f t="shared" si="139"/>
        <v>1</v>
      </c>
      <c r="AV163" s="98">
        <f t="shared" si="139"/>
        <v>1</v>
      </c>
      <c r="AW163" s="98">
        <f t="shared" si="139"/>
        <v>1</v>
      </c>
      <c r="AX163" s="191"/>
      <c r="AY163" s="195" t="s">
        <v>7</v>
      </c>
      <c r="AZ163" s="178">
        <f t="shared" si="133"/>
        <v>3.7999999999999999E-2</v>
      </c>
      <c r="BA163" s="178">
        <f t="shared" si="133"/>
        <v>4.8000000000000001E-2</v>
      </c>
      <c r="BB163" s="178">
        <f t="shared" si="133"/>
        <v>0.05</v>
      </c>
      <c r="BC163" s="178">
        <f t="shared" si="133"/>
        <v>4.4000000000000004E-2</v>
      </c>
      <c r="BD163" s="178">
        <f t="shared" si="133"/>
        <v>5.2000000000000005E-2</v>
      </c>
      <c r="BE163" s="178">
        <f t="shared" si="133"/>
        <v>5.5999999999999994E-2</v>
      </c>
      <c r="BF163" s="178">
        <f t="shared" si="133"/>
        <v>5.2000000000000005E-2</v>
      </c>
      <c r="BG163" s="178">
        <f t="shared" si="133"/>
        <v>0.05</v>
      </c>
      <c r="BH163" s="178">
        <f t="shared" si="133"/>
        <v>4.5999999999999999E-2</v>
      </c>
      <c r="BI163" s="191"/>
      <c r="BJ163" s="191"/>
      <c r="BK163" s="191"/>
      <c r="BL163" s="191"/>
      <c r="BM163" s="191"/>
      <c r="BN163" s="191"/>
      <c r="BO163" s="191"/>
      <c r="BP163" s="191"/>
    </row>
    <row r="164" spans="2:68" s="108" customFormat="1" x14ac:dyDescent="0.25">
      <c r="B164" s="107"/>
      <c r="E164" s="109" t="s">
        <v>1</v>
      </c>
      <c r="F164" s="110" t="s">
        <v>53</v>
      </c>
      <c r="G164" s="111" t="s">
        <v>54</v>
      </c>
      <c r="H164" s="112">
        <v>7423</v>
      </c>
      <c r="I164" s="112">
        <v>6201</v>
      </c>
      <c r="J164" s="112">
        <v>5193</v>
      </c>
      <c r="K164" s="112">
        <v>5109</v>
      </c>
      <c r="L164" s="112">
        <v>5189</v>
      </c>
      <c r="M164" s="112">
        <v>6276</v>
      </c>
      <c r="N164" s="112">
        <v>5143</v>
      </c>
      <c r="O164" s="112">
        <v>3355</v>
      </c>
      <c r="P164" s="112">
        <v>3217</v>
      </c>
      <c r="R164" s="111" t="s">
        <v>54</v>
      </c>
      <c r="S164" s="220">
        <v>7.4</v>
      </c>
      <c r="T164" s="220">
        <v>11.1</v>
      </c>
      <c r="U164" s="220">
        <v>12.3</v>
      </c>
      <c r="V164" s="220">
        <v>11.5</v>
      </c>
      <c r="W164" s="220">
        <v>12.5</v>
      </c>
      <c r="X164" s="220">
        <v>12.1</v>
      </c>
      <c r="Y164" s="220">
        <v>13.1</v>
      </c>
      <c r="Z164" s="220">
        <v>16.399999999999999</v>
      </c>
      <c r="AA164" s="220">
        <v>16.600000000000001</v>
      </c>
      <c r="AC164" s="111" t="s">
        <v>54</v>
      </c>
      <c r="AD164" s="112">
        <f t="shared" si="135"/>
        <v>1098.604</v>
      </c>
      <c r="AE164" s="112">
        <f t="shared" si="131"/>
        <v>1376.6219999999998</v>
      </c>
      <c r="AF164" s="112">
        <f t="shared" si="131"/>
        <v>1277.4780000000001</v>
      </c>
      <c r="AG164" s="112">
        <f t="shared" si="131"/>
        <v>1175.07</v>
      </c>
      <c r="AH164" s="112">
        <f t="shared" si="131"/>
        <v>1297.25</v>
      </c>
      <c r="AI164" s="112">
        <f t="shared" si="131"/>
        <v>1518.7919999999999</v>
      </c>
      <c r="AJ164" s="112">
        <f t="shared" si="131"/>
        <v>1347.4660000000001</v>
      </c>
      <c r="AK164" s="112">
        <f t="shared" si="131"/>
        <v>1100.4399999999998</v>
      </c>
      <c r="AL164" s="112">
        <f t="shared" si="131"/>
        <v>1068.0440000000001</v>
      </c>
      <c r="AN164" s="111" t="s">
        <v>54</v>
      </c>
      <c r="AO164" s="113">
        <f t="shared" ref="AO164:AW164" si="140">H164/H163</f>
        <v>0.40063687392055269</v>
      </c>
      <c r="AP164" s="113">
        <f t="shared" si="140"/>
        <v>0.33185272396446536</v>
      </c>
      <c r="AQ164" s="113">
        <f t="shared" si="140"/>
        <v>0.29963648952743638</v>
      </c>
      <c r="AR164" s="113">
        <f t="shared" si="140"/>
        <v>0.27953165180281225</v>
      </c>
      <c r="AS164" s="113">
        <f t="shared" si="140"/>
        <v>0.29529933985886636</v>
      </c>
      <c r="AT164" s="113">
        <f t="shared" si="140"/>
        <v>0.35325903411009796</v>
      </c>
      <c r="AU164" s="113">
        <f t="shared" si="140"/>
        <v>0.28860830527497194</v>
      </c>
      <c r="AV164" s="113">
        <f t="shared" si="140"/>
        <v>0.20625845321529571</v>
      </c>
      <c r="AW164" s="113">
        <f t="shared" si="140"/>
        <v>0.17538025404786567</v>
      </c>
      <c r="AY164" s="111" t="s">
        <v>54</v>
      </c>
      <c r="AZ164" s="179">
        <f t="shared" si="133"/>
        <v>5.9294257340241803E-2</v>
      </c>
      <c r="BA164" s="179">
        <f t="shared" si="133"/>
        <v>7.3671304720111311E-2</v>
      </c>
      <c r="BB164" s="179">
        <f t="shared" si="133"/>
        <v>7.3710576423749355E-2</v>
      </c>
      <c r="BC164" s="179">
        <f t="shared" si="133"/>
        <v>6.4292279914646824E-2</v>
      </c>
      <c r="BD164" s="179">
        <f t="shared" si="133"/>
        <v>7.382483496471659E-2</v>
      </c>
      <c r="BE164" s="179">
        <f t="shared" si="133"/>
        <v>8.5488686254643703E-2</v>
      </c>
      <c r="BF164" s="179">
        <f t="shared" si="133"/>
        <v>7.561537598204264E-2</v>
      </c>
      <c r="BG164" s="179">
        <f t="shared" si="133"/>
        <v>6.7652772654616986E-2</v>
      </c>
      <c r="BH164" s="179">
        <f t="shared" si="133"/>
        <v>5.8226244343891412E-2</v>
      </c>
    </row>
    <row r="165" spans="2:68" s="108" customFormat="1" x14ac:dyDescent="0.25">
      <c r="B165" s="107"/>
      <c r="E165" s="109" t="s">
        <v>1</v>
      </c>
      <c r="F165" s="110" t="s">
        <v>53</v>
      </c>
      <c r="G165" s="111" t="s">
        <v>55</v>
      </c>
      <c r="H165" s="70" t="s">
        <v>57</v>
      </c>
      <c r="I165" s="70">
        <v>2671</v>
      </c>
      <c r="J165" s="70">
        <v>2606</v>
      </c>
      <c r="K165" s="70" t="s">
        <v>57</v>
      </c>
      <c r="L165" s="70" t="s">
        <v>57</v>
      </c>
      <c r="M165" s="70" t="s">
        <v>57</v>
      </c>
      <c r="N165" s="70" t="s">
        <v>57</v>
      </c>
      <c r="O165" s="112" t="s">
        <v>129</v>
      </c>
      <c r="P165" s="112" t="s">
        <v>129</v>
      </c>
      <c r="R165" s="111" t="s">
        <v>55</v>
      </c>
      <c r="S165" s="81"/>
      <c r="T165" s="81">
        <v>21.7</v>
      </c>
      <c r="U165" s="81">
        <v>21.4</v>
      </c>
      <c r="V165" s="81" t="s">
        <v>57</v>
      </c>
      <c r="W165" s="81" t="s">
        <v>57</v>
      </c>
      <c r="X165" s="81" t="s">
        <v>57</v>
      </c>
      <c r="Y165" s="81" t="s">
        <v>57</v>
      </c>
      <c r="Z165" s="81" t="s">
        <v>129</v>
      </c>
      <c r="AA165" s="81" t="s">
        <v>129</v>
      </c>
      <c r="AC165" s="111" t="s">
        <v>55</v>
      </c>
      <c r="AD165" s="70" t="e">
        <f t="shared" si="135"/>
        <v>#VALUE!</v>
      </c>
      <c r="AE165" s="70">
        <f t="shared" si="131"/>
        <v>1159.2139999999999</v>
      </c>
      <c r="AF165" s="70">
        <f t="shared" si="131"/>
        <v>1115.3679999999999</v>
      </c>
      <c r="AG165" s="70" t="e">
        <f t="shared" si="131"/>
        <v>#VALUE!</v>
      </c>
      <c r="AH165" s="70" t="e">
        <f t="shared" si="131"/>
        <v>#VALUE!</v>
      </c>
      <c r="AI165" s="70" t="e">
        <f t="shared" si="131"/>
        <v>#VALUE!</v>
      </c>
      <c r="AJ165" s="70" t="e">
        <f t="shared" si="131"/>
        <v>#VALUE!</v>
      </c>
      <c r="AK165" s="70" t="e">
        <f t="shared" si="131"/>
        <v>#VALUE!</v>
      </c>
      <c r="AL165" s="70" t="e">
        <f t="shared" si="131"/>
        <v>#VALUE!</v>
      </c>
      <c r="AN165" s="111" t="s">
        <v>55</v>
      </c>
      <c r="AO165" s="113" t="e">
        <f t="shared" ref="AO165:AW165" si="141">H165/H163</f>
        <v>#VALUE!</v>
      </c>
      <c r="AP165" s="113">
        <f t="shared" si="141"/>
        <v>0.14294123943058976</v>
      </c>
      <c r="AQ165" s="113">
        <f t="shared" si="141"/>
        <v>0.15036639547631411</v>
      </c>
      <c r="AR165" s="113" t="e">
        <f t="shared" si="141"/>
        <v>#VALUE!</v>
      </c>
      <c r="AS165" s="113" t="e">
        <f t="shared" si="141"/>
        <v>#VALUE!</v>
      </c>
      <c r="AT165" s="113" t="e">
        <f t="shared" si="141"/>
        <v>#VALUE!</v>
      </c>
      <c r="AU165" s="113" t="e">
        <f t="shared" si="141"/>
        <v>#VALUE!</v>
      </c>
      <c r="AV165" s="113" t="e">
        <f t="shared" si="141"/>
        <v>#VALUE!</v>
      </c>
      <c r="AW165" s="113" t="e">
        <f t="shared" si="141"/>
        <v>#VALUE!</v>
      </c>
      <c r="AY165" s="111" t="s">
        <v>55</v>
      </c>
      <c r="AZ165" s="179" t="e">
        <f t="shared" si="133"/>
        <v>#VALUE!</v>
      </c>
      <c r="BA165" s="179">
        <f t="shared" si="133"/>
        <v>6.2036497912875951E-2</v>
      </c>
      <c r="BB165" s="179">
        <f t="shared" si="133"/>
        <v>6.4356817263862429E-2</v>
      </c>
      <c r="BC165" s="179" t="e">
        <f t="shared" si="133"/>
        <v>#VALUE!</v>
      </c>
      <c r="BD165" s="179" t="e">
        <f t="shared" si="133"/>
        <v>#VALUE!</v>
      </c>
      <c r="BE165" s="179" t="e">
        <f t="shared" si="133"/>
        <v>#VALUE!</v>
      </c>
      <c r="BF165" s="179" t="e">
        <f t="shared" si="133"/>
        <v>#VALUE!</v>
      </c>
      <c r="BG165" s="179" t="e">
        <f t="shared" si="133"/>
        <v>#VALUE!</v>
      </c>
      <c r="BH165" s="179" t="e">
        <f t="shared" si="133"/>
        <v>#VALUE!</v>
      </c>
    </row>
    <row r="166" spans="2:68" s="108" customFormat="1" x14ac:dyDescent="0.25">
      <c r="B166" s="107"/>
      <c r="E166" s="109" t="s">
        <v>1</v>
      </c>
      <c r="F166" s="110" t="s">
        <v>53</v>
      </c>
      <c r="G166" s="111" t="s">
        <v>130</v>
      </c>
      <c r="H166" s="70">
        <v>2621</v>
      </c>
      <c r="I166" s="70">
        <v>3886</v>
      </c>
      <c r="J166" s="70">
        <v>2449</v>
      </c>
      <c r="K166" s="70">
        <v>3532</v>
      </c>
      <c r="L166" s="70">
        <v>2946</v>
      </c>
      <c r="M166" s="70">
        <v>2121</v>
      </c>
      <c r="N166" s="70">
        <v>2636</v>
      </c>
      <c r="O166" s="112" t="s">
        <v>129</v>
      </c>
      <c r="P166" s="112" t="s">
        <v>129</v>
      </c>
      <c r="R166" s="111" t="s">
        <v>130</v>
      </c>
      <c r="S166" s="220">
        <v>17</v>
      </c>
      <c r="T166" s="220">
        <v>16.7</v>
      </c>
      <c r="U166" s="220">
        <v>22.1</v>
      </c>
      <c r="V166" s="220">
        <v>15.8</v>
      </c>
      <c r="W166" s="220">
        <v>21.8</v>
      </c>
      <c r="X166" s="220">
        <v>24.7</v>
      </c>
      <c r="Y166" s="220">
        <v>22</v>
      </c>
      <c r="Z166" s="220" t="s">
        <v>129</v>
      </c>
      <c r="AA166" s="220" t="s">
        <v>129</v>
      </c>
      <c r="AC166" s="111" t="s">
        <v>130</v>
      </c>
      <c r="AD166" s="70">
        <f t="shared" si="135"/>
        <v>891.14</v>
      </c>
      <c r="AE166" s="70">
        <f t="shared" si="131"/>
        <v>1297.924</v>
      </c>
      <c r="AF166" s="70">
        <f t="shared" si="131"/>
        <v>1082.4580000000001</v>
      </c>
      <c r="AG166" s="70">
        <f t="shared" si="131"/>
        <v>1116.1120000000001</v>
      </c>
      <c r="AH166" s="70">
        <f t="shared" si="131"/>
        <v>1284.4560000000001</v>
      </c>
      <c r="AI166" s="70">
        <f t="shared" si="131"/>
        <v>1047.7739999999999</v>
      </c>
      <c r="AJ166" s="70">
        <f t="shared" si="131"/>
        <v>1159.8399999999999</v>
      </c>
      <c r="AK166" s="70" t="e">
        <f t="shared" si="131"/>
        <v>#VALUE!</v>
      </c>
      <c r="AL166" s="70" t="e">
        <f t="shared" si="131"/>
        <v>#VALUE!</v>
      </c>
      <c r="AN166" s="111" t="s">
        <v>130</v>
      </c>
      <c r="AO166" s="113">
        <f t="shared" ref="AO166:AW166" si="142">H166/H163</f>
        <v>0.14146157167530224</v>
      </c>
      <c r="AP166" s="113">
        <f t="shared" si="142"/>
        <v>0.20796318099111635</v>
      </c>
      <c r="AQ166" s="113">
        <f t="shared" si="142"/>
        <v>0.14130748369972881</v>
      </c>
      <c r="AR166" s="113">
        <f t="shared" si="142"/>
        <v>0.19324834491437326</v>
      </c>
      <c r="AS166" s="113">
        <f t="shared" si="142"/>
        <v>0.16765308445253813</v>
      </c>
      <c r="AT166" s="113">
        <f t="shared" si="142"/>
        <v>0.11938534278959811</v>
      </c>
      <c r="AU166" s="113">
        <f t="shared" si="142"/>
        <v>0.14792368125701458</v>
      </c>
      <c r="AV166" s="113" t="e">
        <f t="shared" si="142"/>
        <v>#VALUE!</v>
      </c>
      <c r="AW166" s="113" t="e">
        <f t="shared" si="142"/>
        <v>#VALUE!</v>
      </c>
      <c r="AY166" s="111" t="s">
        <v>130</v>
      </c>
      <c r="AZ166" s="179">
        <f t="shared" si="133"/>
        <v>4.8096934369602759E-2</v>
      </c>
      <c r="BA166" s="179">
        <f t="shared" si="133"/>
        <v>6.9459702451032862E-2</v>
      </c>
      <c r="BB166" s="179">
        <f t="shared" si="133"/>
        <v>6.245790779528014E-2</v>
      </c>
      <c r="BC166" s="179">
        <f t="shared" si="133"/>
        <v>6.1066476992941959E-2</v>
      </c>
      <c r="BD166" s="179">
        <f t="shared" si="133"/>
        <v>7.3096744821306625E-2</v>
      </c>
      <c r="BE166" s="179">
        <f t="shared" si="133"/>
        <v>5.8976359338061467E-2</v>
      </c>
      <c r="BF166" s="179">
        <f t="shared" si="133"/>
        <v>6.5086419753086419E-2</v>
      </c>
      <c r="BG166" s="179" t="e">
        <f t="shared" si="133"/>
        <v>#VALUE!</v>
      </c>
      <c r="BH166" s="179" t="e">
        <f t="shared" si="133"/>
        <v>#VALUE!</v>
      </c>
    </row>
    <row r="167" spans="2:68" s="108" customFormat="1" x14ac:dyDescent="0.25">
      <c r="B167" s="107"/>
      <c r="E167" s="109" t="s">
        <v>1</v>
      </c>
      <c r="F167" s="110" t="s">
        <v>53</v>
      </c>
      <c r="G167" s="111" t="s">
        <v>131</v>
      </c>
      <c r="H167" s="112">
        <v>6032</v>
      </c>
      <c r="I167" s="112">
        <v>5928</v>
      </c>
      <c r="J167" s="112">
        <v>7083</v>
      </c>
      <c r="K167" s="112">
        <v>7515</v>
      </c>
      <c r="L167" s="112">
        <v>7460</v>
      </c>
      <c r="M167" s="112">
        <v>7668</v>
      </c>
      <c r="N167" s="112">
        <v>7681</v>
      </c>
      <c r="O167" s="112">
        <v>9807</v>
      </c>
      <c r="P167" s="112">
        <v>10308</v>
      </c>
      <c r="R167" s="111" t="s">
        <v>131</v>
      </c>
      <c r="S167" s="220">
        <v>12.3</v>
      </c>
      <c r="T167" s="220">
        <v>14.1</v>
      </c>
      <c r="U167" s="220">
        <v>11.2</v>
      </c>
      <c r="V167" s="220">
        <v>8.6999999999999993</v>
      </c>
      <c r="W167" s="220">
        <v>12</v>
      </c>
      <c r="X167" s="220">
        <v>11.7</v>
      </c>
      <c r="Y167" s="220">
        <v>9.9</v>
      </c>
      <c r="Z167" s="220">
        <v>7.5</v>
      </c>
      <c r="AA167" s="220">
        <v>7</v>
      </c>
      <c r="AC167" s="111" t="s">
        <v>131</v>
      </c>
      <c r="AD167" s="112">
        <f t="shared" si="135"/>
        <v>1483.8720000000001</v>
      </c>
      <c r="AE167" s="112">
        <f t="shared" si="131"/>
        <v>1671.6960000000001</v>
      </c>
      <c r="AF167" s="112">
        <f t="shared" si="131"/>
        <v>1586.5919999999999</v>
      </c>
      <c r="AG167" s="112">
        <f t="shared" si="131"/>
        <v>1307.6099999999999</v>
      </c>
      <c r="AH167" s="112">
        <f t="shared" si="131"/>
        <v>1790.4</v>
      </c>
      <c r="AI167" s="112">
        <f t="shared" si="131"/>
        <v>1794.3119999999999</v>
      </c>
      <c r="AJ167" s="112">
        <f t="shared" si="131"/>
        <v>1520.8380000000002</v>
      </c>
      <c r="AK167" s="112">
        <f t="shared" si="131"/>
        <v>1471.05</v>
      </c>
      <c r="AL167" s="112">
        <f t="shared" si="131"/>
        <v>1443.12</v>
      </c>
      <c r="AN167" s="111" t="s">
        <v>131</v>
      </c>
      <c r="AO167" s="113">
        <f t="shared" ref="AO167:AW167" si="143">H167/H163</f>
        <v>0.32556131260794474</v>
      </c>
      <c r="AP167" s="113">
        <f t="shared" si="143"/>
        <v>0.31724285561382853</v>
      </c>
      <c r="AQ167" s="113">
        <f t="shared" si="143"/>
        <v>0.40868963129652069</v>
      </c>
      <c r="AR167" s="113">
        <f t="shared" si="143"/>
        <v>0.41117251190020243</v>
      </c>
      <c r="AS167" s="113">
        <f t="shared" si="143"/>
        <v>0.42453903938083315</v>
      </c>
      <c r="AT167" s="113">
        <f t="shared" si="143"/>
        <v>0.43161094224924013</v>
      </c>
      <c r="AU167" s="113">
        <f t="shared" si="143"/>
        <v>0.43103254769921434</v>
      </c>
      <c r="AV167" s="113">
        <f t="shared" si="143"/>
        <v>0.60291405385466612</v>
      </c>
      <c r="AW167" s="113">
        <f t="shared" si="143"/>
        <v>0.56195824020062146</v>
      </c>
      <c r="AY167" s="111" t="s">
        <v>131</v>
      </c>
      <c r="AZ167" s="179">
        <f t="shared" si="133"/>
        <v>8.0088082901554405E-2</v>
      </c>
      <c r="BA167" s="179">
        <f t="shared" si="133"/>
        <v>8.9462485283099649E-2</v>
      </c>
      <c r="BB167" s="179">
        <f t="shared" si="133"/>
        <v>9.1546477410420615E-2</v>
      </c>
      <c r="BC167" s="179">
        <f t="shared" si="133"/>
        <v>7.1544017070635221E-2</v>
      </c>
      <c r="BD167" s="179">
        <f t="shared" si="133"/>
        <v>0.10188936945139997</v>
      </c>
      <c r="BE167" s="179">
        <f t="shared" si="133"/>
        <v>0.10099696048632217</v>
      </c>
      <c r="BF167" s="179">
        <f t="shared" si="133"/>
        <v>8.5344444444444445E-2</v>
      </c>
      <c r="BG167" s="179">
        <f t="shared" si="133"/>
        <v>9.0437108078199907E-2</v>
      </c>
      <c r="BH167" s="179">
        <f t="shared" si="133"/>
        <v>7.867415362808701E-2</v>
      </c>
    </row>
    <row r="168" spans="2:68" s="87" customFormat="1" x14ac:dyDescent="0.25">
      <c r="B168" s="84"/>
      <c r="C168" s="85"/>
      <c r="D168" s="85"/>
      <c r="E168" s="109" t="s">
        <v>2</v>
      </c>
      <c r="F168" s="110" t="s">
        <v>53</v>
      </c>
      <c r="G168" s="195" t="s">
        <v>7</v>
      </c>
      <c r="H168" s="69">
        <v>31232</v>
      </c>
      <c r="I168" s="69">
        <v>30946</v>
      </c>
      <c r="J168" s="69">
        <v>28543</v>
      </c>
      <c r="K168" s="69">
        <v>26748</v>
      </c>
      <c r="L168" s="69">
        <v>26303</v>
      </c>
      <c r="M168" s="69">
        <v>25738</v>
      </c>
      <c r="N168" s="69">
        <v>25744</v>
      </c>
      <c r="O168" s="69">
        <v>28510</v>
      </c>
      <c r="P168" s="69">
        <v>27806</v>
      </c>
      <c r="R168" s="195" t="s">
        <v>7</v>
      </c>
      <c r="S168" s="226">
        <v>1.5</v>
      </c>
      <c r="T168" s="226">
        <v>4.9000000000000004</v>
      </c>
      <c r="U168" s="226">
        <v>2.1</v>
      </c>
      <c r="V168" s="226">
        <v>1.9</v>
      </c>
      <c r="W168" s="226">
        <v>2.1</v>
      </c>
      <c r="X168" s="226">
        <v>2.1</v>
      </c>
      <c r="Y168" s="226">
        <v>2.1</v>
      </c>
      <c r="Z168" s="226">
        <v>2</v>
      </c>
      <c r="AA168" s="226">
        <v>2</v>
      </c>
      <c r="AC168" s="195" t="s">
        <v>7</v>
      </c>
      <c r="AD168" s="69">
        <f t="shared" si="135"/>
        <v>936.96</v>
      </c>
      <c r="AE168" s="69">
        <f t="shared" si="131"/>
        <v>3032.7080000000005</v>
      </c>
      <c r="AF168" s="69">
        <f t="shared" si="131"/>
        <v>1198.806</v>
      </c>
      <c r="AG168" s="69">
        <f t="shared" si="131"/>
        <v>1016.424</v>
      </c>
      <c r="AH168" s="69">
        <f t="shared" si="131"/>
        <v>1104.7260000000001</v>
      </c>
      <c r="AI168" s="69">
        <f t="shared" si="131"/>
        <v>1080.9960000000001</v>
      </c>
      <c r="AJ168" s="69">
        <f t="shared" si="131"/>
        <v>1081.248</v>
      </c>
      <c r="AK168" s="69">
        <f t="shared" si="131"/>
        <v>1140.4000000000001</v>
      </c>
      <c r="AL168" s="69">
        <f t="shared" si="131"/>
        <v>1112.24</v>
      </c>
      <c r="AN168" s="195" t="s">
        <v>7</v>
      </c>
      <c r="AO168" s="98">
        <f t="shared" ref="AO168:AW168" si="144">H168/H168</f>
        <v>1</v>
      </c>
      <c r="AP168" s="98">
        <f t="shared" si="144"/>
        <v>1</v>
      </c>
      <c r="AQ168" s="98">
        <f t="shared" si="144"/>
        <v>1</v>
      </c>
      <c r="AR168" s="98">
        <f t="shared" si="144"/>
        <v>1</v>
      </c>
      <c r="AS168" s="98">
        <f t="shared" si="144"/>
        <v>1</v>
      </c>
      <c r="AT168" s="98">
        <f t="shared" si="144"/>
        <v>1</v>
      </c>
      <c r="AU168" s="98">
        <f t="shared" si="144"/>
        <v>1</v>
      </c>
      <c r="AV168" s="98">
        <f t="shared" si="144"/>
        <v>1</v>
      </c>
      <c r="AW168" s="98">
        <f t="shared" si="144"/>
        <v>1</v>
      </c>
      <c r="AX168" s="191"/>
      <c r="AY168" s="195" t="s">
        <v>7</v>
      </c>
      <c r="AZ168" s="178">
        <f t="shared" si="133"/>
        <v>0.03</v>
      </c>
      <c r="BA168" s="178">
        <f t="shared" si="133"/>
        <v>9.8000000000000004E-2</v>
      </c>
      <c r="BB168" s="178">
        <f t="shared" si="133"/>
        <v>4.2000000000000003E-2</v>
      </c>
      <c r="BC168" s="178">
        <f t="shared" si="133"/>
        <v>3.7999999999999999E-2</v>
      </c>
      <c r="BD168" s="178">
        <f t="shared" si="133"/>
        <v>4.2000000000000003E-2</v>
      </c>
      <c r="BE168" s="178">
        <f t="shared" si="133"/>
        <v>4.2000000000000003E-2</v>
      </c>
      <c r="BF168" s="178">
        <f t="shared" si="133"/>
        <v>4.2000000000000003E-2</v>
      </c>
      <c r="BG168" s="178">
        <f t="shared" si="133"/>
        <v>0.04</v>
      </c>
      <c r="BH168" s="178">
        <f t="shared" si="133"/>
        <v>0.04</v>
      </c>
      <c r="BI168" s="191"/>
      <c r="BJ168" s="191"/>
      <c r="BK168" s="191"/>
      <c r="BL168" s="191"/>
      <c r="BM168" s="191"/>
      <c r="BN168" s="191"/>
      <c r="BO168" s="191"/>
      <c r="BP168" s="191"/>
    </row>
    <row r="169" spans="2:68" s="108" customFormat="1" x14ac:dyDescent="0.25">
      <c r="B169" s="107"/>
      <c r="E169" s="109" t="s">
        <v>2</v>
      </c>
      <c r="F169" s="110" t="s">
        <v>53</v>
      </c>
      <c r="G169" s="111" t="s">
        <v>54</v>
      </c>
      <c r="H169" s="112">
        <v>10689</v>
      </c>
      <c r="I169" s="112">
        <v>9397</v>
      </c>
      <c r="J169" s="112">
        <v>6741</v>
      </c>
      <c r="K169" s="112">
        <v>6344</v>
      </c>
      <c r="L169" s="112">
        <v>6876</v>
      </c>
      <c r="M169" s="112">
        <v>7085</v>
      </c>
      <c r="N169" s="112">
        <v>6497</v>
      </c>
      <c r="O169" s="112">
        <v>5035</v>
      </c>
      <c r="P169" s="112">
        <v>5505</v>
      </c>
      <c r="R169" s="111" t="s">
        <v>54</v>
      </c>
      <c r="S169" s="220">
        <v>6.7</v>
      </c>
      <c r="T169" s="220">
        <v>9</v>
      </c>
      <c r="U169" s="220">
        <v>12.3</v>
      </c>
      <c r="V169" s="220">
        <v>11.9</v>
      </c>
      <c r="W169" s="220">
        <v>11.8</v>
      </c>
      <c r="X169" s="220">
        <v>12.1</v>
      </c>
      <c r="Y169" s="220">
        <v>11.9</v>
      </c>
      <c r="Z169" s="220">
        <v>13.1</v>
      </c>
      <c r="AA169" s="220">
        <v>13.6</v>
      </c>
      <c r="AC169" s="111" t="s">
        <v>54</v>
      </c>
      <c r="AD169" s="112">
        <f t="shared" si="135"/>
        <v>1432.326</v>
      </c>
      <c r="AE169" s="112">
        <f t="shared" si="131"/>
        <v>1691.46</v>
      </c>
      <c r="AF169" s="112">
        <f t="shared" si="131"/>
        <v>1658.2860000000001</v>
      </c>
      <c r="AG169" s="112">
        <f t="shared" si="131"/>
        <v>1509.8720000000001</v>
      </c>
      <c r="AH169" s="112">
        <f t="shared" si="131"/>
        <v>1622.7360000000001</v>
      </c>
      <c r="AI169" s="112">
        <f t="shared" si="131"/>
        <v>1714.57</v>
      </c>
      <c r="AJ169" s="112">
        <f t="shared" si="131"/>
        <v>1546.2860000000001</v>
      </c>
      <c r="AK169" s="112">
        <f t="shared" si="131"/>
        <v>1319.17</v>
      </c>
      <c r="AL169" s="112">
        <f t="shared" si="131"/>
        <v>1497.36</v>
      </c>
      <c r="AN169" s="111" t="s">
        <v>54</v>
      </c>
      <c r="AO169" s="113">
        <f t="shared" ref="AO169:AW169" si="145">H169/H168</f>
        <v>0.34224513319672129</v>
      </c>
      <c r="AP169" s="113">
        <f t="shared" si="145"/>
        <v>0.30365798487688234</v>
      </c>
      <c r="AQ169" s="113">
        <f t="shared" si="145"/>
        <v>0.23616998913919349</v>
      </c>
      <c r="AR169" s="113">
        <f t="shared" si="145"/>
        <v>0.23717661133542695</v>
      </c>
      <c r="AS169" s="113">
        <f t="shared" si="145"/>
        <v>0.26141504771318863</v>
      </c>
      <c r="AT169" s="113">
        <f t="shared" si="145"/>
        <v>0.27527391405703627</v>
      </c>
      <c r="AU169" s="113">
        <f t="shared" si="145"/>
        <v>0.25236948415164701</v>
      </c>
      <c r="AV169" s="113">
        <f t="shared" si="145"/>
        <v>0.17660470010522625</v>
      </c>
      <c r="AW169" s="113">
        <f t="shared" si="145"/>
        <v>0.19797885348485939</v>
      </c>
      <c r="AY169" s="111" t="s">
        <v>54</v>
      </c>
      <c r="AZ169" s="179">
        <f t="shared" si="133"/>
        <v>4.5860847848360649E-2</v>
      </c>
      <c r="BA169" s="179">
        <f t="shared" si="133"/>
        <v>5.4658437277838826E-2</v>
      </c>
      <c r="BB169" s="179">
        <f t="shared" si="133"/>
        <v>5.8097817328241604E-2</v>
      </c>
      <c r="BC169" s="179">
        <f t="shared" si="133"/>
        <v>5.6448033497831611E-2</v>
      </c>
      <c r="BD169" s="179">
        <f t="shared" si="133"/>
        <v>6.1693951260312518E-2</v>
      </c>
      <c r="BE169" s="179">
        <f t="shared" si="133"/>
        <v>6.6616287201802779E-2</v>
      </c>
      <c r="BF169" s="179">
        <f t="shared" si="133"/>
        <v>6.0063937228091994E-2</v>
      </c>
      <c r="BG169" s="179">
        <f t="shared" si="133"/>
        <v>4.6270431427569279E-2</v>
      </c>
      <c r="BH169" s="179">
        <f t="shared" si="133"/>
        <v>5.3850248147881752E-2</v>
      </c>
    </row>
    <row r="170" spans="2:68" s="108" customFormat="1" x14ac:dyDescent="0.25">
      <c r="B170" s="107"/>
      <c r="E170" s="109" t="s">
        <v>2</v>
      </c>
      <c r="F170" s="110" t="s">
        <v>53</v>
      </c>
      <c r="G170" s="111" t="s">
        <v>55</v>
      </c>
      <c r="H170" s="70">
        <v>8840</v>
      </c>
      <c r="I170" s="70">
        <v>8979</v>
      </c>
      <c r="J170" s="70">
        <v>8065</v>
      </c>
      <c r="K170" s="70">
        <v>6912</v>
      </c>
      <c r="L170" s="70">
        <v>6628</v>
      </c>
      <c r="M170" s="70">
        <v>8049</v>
      </c>
      <c r="N170" s="70">
        <v>7479</v>
      </c>
      <c r="O170" s="112">
        <v>8150</v>
      </c>
      <c r="P170" s="112">
        <v>5731</v>
      </c>
      <c r="R170" s="111" t="s">
        <v>55</v>
      </c>
      <c r="S170" s="81">
        <v>7.8</v>
      </c>
      <c r="T170" s="81">
        <v>9.9</v>
      </c>
      <c r="U170" s="81">
        <v>10.1</v>
      </c>
      <c r="V170" s="81">
        <v>10.5</v>
      </c>
      <c r="W170" s="81">
        <v>11.8</v>
      </c>
      <c r="X170" s="81">
        <v>10.9</v>
      </c>
      <c r="Y170" s="81">
        <v>11</v>
      </c>
      <c r="Z170" s="81">
        <v>9.6999999999999993</v>
      </c>
      <c r="AA170" s="81">
        <v>12.4</v>
      </c>
      <c r="AC170" s="111" t="s">
        <v>55</v>
      </c>
      <c r="AD170" s="70">
        <f t="shared" si="135"/>
        <v>1379.04</v>
      </c>
      <c r="AE170" s="70">
        <f t="shared" si="131"/>
        <v>1777.8420000000001</v>
      </c>
      <c r="AF170" s="70">
        <f t="shared" si="131"/>
        <v>1629.13</v>
      </c>
      <c r="AG170" s="70">
        <f t="shared" si="131"/>
        <v>1451.52</v>
      </c>
      <c r="AH170" s="70">
        <f t="shared" si="131"/>
        <v>1564.2080000000001</v>
      </c>
      <c r="AI170" s="70">
        <f t="shared" si="131"/>
        <v>1754.682</v>
      </c>
      <c r="AJ170" s="70">
        <f t="shared" si="131"/>
        <v>1645.38</v>
      </c>
      <c r="AK170" s="70">
        <f t="shared" si="131"/>
        <v>1581.1</v>
      </c>
      <c r="AL170" s="70">
        <f t="shared" si="131"/>
        <v>1421.2880000000002</v>
      </c>
      <c r="AN170" s="111" t="s">
        <v>55</v>
      </c>
      <c r="AO170" s="113">
        <f t="shared" ref="AO170:AW170" si="146">H170/H168</f>
        <v>0.28304303278688525</v>
      </c>
      <c r="AP170" s="113">
        <f t="shared" si="146"/>
        <v>0.29015058488980805</v>
      </c>
      <c r="AQ170" s="113">
        <f t="shared" si="146"/>
        <v>0.28255614336264584</v>
      </c>
      <c r="AR170" s="113">
        <f t="shared" si="146"/>
        <v>0.25841184387617766</v>
      </c>
      <c r="AS170" s="113">
        <f t="shared" si="146"/>
        <v>0.25198646542219516</v>
      </c>
      <c r="AT170" s="113">
        <f t="shared" si="146"/>
        <v>0.31272826171419693</v>
      </c>
      <c r="AU170" s="113">
        <f t="shared" si="146"/>
        <v>0.29051429459291483</v>
      </c>
      <c r="AV170" s="113">
        <f t="shared" si="146"/>
        <v>0.28586460890915466</v>
      </c>
      <c r="AW170" s="113">
        <f t="shared" si="146"/>
        <v>0.20610659569877005</v>
      </c>
      <c r="AY170" s="111" t="s">
        <v>55</v>
      </c>
      <c r="AZ170" s="179">
        <f t="shared" si="133"/>
        <v>4.41547131147541E-2</v>
      </c>
      <c r="BA170" s="179">
        <f t="shared" si="133"/>
        <v>5.7449815808182002E-2</v>
      </c>
      <c r="BB170" s="179">
        <f t="shared" si="133"/>
        <v>5.7076340959254457E-2</v>
      </c>
      <c r="BC170" s="179">
        <f t="shared" si="133"/>
        <v>5.4266487213997315E-2</v>
      </c>
      <c r="BD170" s="179">
        <f t="shared" si="133"/>
        <v>5.9468805839638067E-2</v>
      </c>
      <c r="BE170" s="179">
        <f t="shared" si="133"/>
        <v>6.8174761053694938E-2</v>
      </c>
      <c r="BF170" s="179">
        <f t="shared" si="133"/>
        <v>6.3913144810441261E-2</v>
      </c>
      <c r="BG170" s="179">
        <f t="shared" si="133"/>
        <v>5.5457734128375999E-2</v>
      </c>
      <c r="BH170" s="179">
        <f t="shared" si="133"/>
        <v>5.1114435733294973E-2</v>
      </c>
    </row>
    <row r="171" spans="2:68" s="108" customFormat="1" x14ac:dyDescent="0.25">
      <c r="B171" s="107"/>
      <c r="E171" s="109" t="s">
        <v>2</v>
      </c>
      <c r="F171" s="110" t="s">
        <v>53</v>
      </c>
      <c r="G171" s="111" t="s">
        <v>130</v>
      </c>
      <c r="H171" s="70">
        <v>4071</v>
      </c>
      <c r="I171" s="70">
        <v>3597</v>
      </c>
      <c r="J171" s="70">
        <v>4082</v>
      </c>
      <c r="K171" s="70">
        <v>4113</v>
      </c>
      <c r="L171" s="70">
        <v>3861</v>
      </c>
      <c r="M171" s="70">
        <v>4147</v>
      </c>
      <c r="N171" s="70">
        <v>3358</v>
      </c>
      <c r="O171" s="112">
        <v>4024</v>
      </c>
      <c r="P171" s="112">
        <v>4655</v>
      </c>
      <c r="R171" s="111" t="s">
        <v>130</v>
      </c>
      <c r="S171" s="220">
        <v>12</v>
      </c>
      <c r="T171" s="220">
        <v>17.7</v>
      </c>
      <c r="U171" s="220">
        <v>15.6</v>
      </c>
      <c r="V171" s="220">
        <v>13.7</v>
      </c>
      <c r="W171" s="220">
        <v>17.8</v>
      </c>
      <c r="X171" s="220">
        <v>17</v>
      </c>
      <c r="Y171" s="220">
        <v>18.5</v>
      </c>
      <c r="Z171" s="220">
        <v>15</v>
      </c>
      <c r="AA171" s="220">
        <v>15.4</v>
      </c>
      <c r="AC171" s="111" t="s">
        <v>130</v>
      </c>
      <c r="AD171" s="70">
        <f t="shared" si="135"/>
        <v>977.04</v>
      </c>
      <c r="AE171" s="70">
        <f t="shared" si="131"/>
        <v>1273.338</v>
      </c>
      <c r="AF171" s="70">
        <f t="shared" si="131"/>
        <v>1273.5839999999998</v>
      </c>
      <c r="AG171" s="70">
        <f t="shared" si="131"/>
        <v>1126.962</v>
      </c>
      <c r="AH171" s="70">
        <f t="shared" si="131"/>
        <v>1374.5160000000001</v>
      </c>
      <c r="AI171" s="70">
        <f t="shared" si="131"/>
        <v>1409.98</v>
      </c>
      <c r="AJ171" s="70">
        <f t="shared" si="131"/>
        <v>1242.46</v>
      </c>
      <c r="AK171" s="70">
        <f t="shared" si="131"/>
        <v>1207.2</v>
      </c>
      <c r="AL171" s="70">
        <f t="shared" si="131"/>
        <v>1433.74</v>
      </c>
      <c r="AN171" s="111" t="s">
        <v>130</v>
      </c>
      <c r="AO171" s="113">
        <f t="shared" ref="AO171:AW171" si="147">H171/H168</f>
        <v>0.13034707991803279</v>
      </c>
      <c r="AP171" s="113">
        <f t="shared" si="147"/>
        <v>0.11623473146771796</v>
      </c>
      <c r="AQ171" s="113">
        <f t="shared" si="147"/>
        <v>0.14301229723574957</v>
      </c>
      <c r="AR171" s="113">
        <f t="shared" si="147"/>
        <v>0.15376850605652759</v>
      </c>
      <c r="AS171" s="113">
        <f t="shared" si="147"/>
        <v>0.14678933961905485</v>
      </c>
      <c r="AT171" s="113">
        <f t="shared" si="147"/>
        <v>0.16112363042971481</v>
      </c>
      <c r="AU171" s="113">
        <f t="shared" si="147"/>
        <v>0.13043816034804226</v>
      </c>
      <c r="AV171" s="113">
        <f t="shared" si="147"/>
        <v>0.14114345843563661</v>
      </c>
      <c r="AW171" s="113">
        <f t="shared" si="147"/>
        <v>0.16740991152988563</v>
      </c>
      <c r="AY171" s="111" t="s">
        <v>130</v>
      </c>
      <c r="AZ171" s="179">
        <f t="shared" si="133"/>
        <v>3.1283299180327871E-2</v>
      </c>
      <c r="BA171" s="179">
        <f t="shared" si="133"/>
        <v>4.1147094939572151E-2</v>
      </c>
      <c r="BB171" s="179">
        <f t="shared" si="133"/>
        <v>4.4619836737553868E-2</v>
      </c>
      <c r="BC171" s="179">
        <f t="shared" si="133"/>
        <v>4.2132570659488555E-2</v>
      </c>
      <c r="BD171" s="179">
        <f t="shared" si="133"/>
        <v>5.2257004904383529E-2</v>
      </c>
      <c r="BE171" s="179">
        <f t="shared" si="133"/>
        <v>5.4782034346103042E-2</v>
      </c>
      <c r="BF171" s="179">
        <f t="shared" si="133"/>
        <v>4.8262119328775638E-2</v>
      </c>
      <c r="BG171" s="179">
        <f t="shared" si="133"/>
        <v>4.2343037530690984E-2</v>
      </c>
      <c r="BH171" s="179">
        <f t="shared" si="133"/>
        <v>5.1562252751204775E-2</v>
      </c>
    </row>
    <row r="172" spans="2:68" s="108" customFormat="1" x14ac:dyDescent="0.25">
      <c r="B172" s="107"/>
      <c r="E172" s="109" t="s">
        <v>2</v>
      </c>
      <c r="F172" s="110" t="s">
        <v>53</v>
      </c>
      <c r="G172" s="111" t="s">
        <v>131</v>
      </c>
      <c r="H172" s="112">
        <v>7633</v>
      </c>
      <c r="I172" s="112">
        <v>8973</v>
      </c>
      <c r="J172" s="112">
        <v>9656</v>
      </c>
      <c r="K172" s="112">
        <v>9379</v>
      </c>
      <c r="L172" s="112">
        <v>8938</v>
      </c>
      <c r="M172" s="112">
        <v>6457</v>
      </c>
      <c r="N172" s="112">
        <v>8409</v>
      </c>
      <c r="O172" s="112">
        <v>11301</v>
      </c>
      <c r="P172" s="112">
        <v>11915</v>
      </c>
      <c r="R172" s="111" t="s">
        <v>131</v>
      </c>
      <c r="S172" s="220">
        <v>8.6</v>
      </c>
      <c r="T172" s="220">
        <v>9.3000000000000007</v>
      </c>
      <c r="U172" s="220">
        <v>9.5</v>
      </c>
      <c r="V172" s="220">
        <v>8</v>
      </c>
      <c r="W172" s="220">
        <v>9.5</v>
      </c>
      <c r="X172" s="220">
        <v>13</v>
      </c>
      <c r="Y172" s="220">
        <v>10</v>
      </c>
      <c r="Z172" s="220">
        <v>7.1</v>
      </c>
      <c r="AA172" s="220">
        <v>7.6</v>
      </c>
      <c r="AC172" s="111" t="s">
        <v>131</v>
      </c>
      <c r="AD172" s="112">
        <f t="shared" si="135"/>
        <v>1312.876</v>
      </c>
      <c r="AE172" s="112">
        <f t="shared" si="131"/>
        <v>1668.9780000000001</v>
      </c>
      <c r="AF172" s="112">
        <f t="shared" si="131"/>
        <v>1834.64</v>
      </c>
      <c r="AG172" s="112">
        <f t="shared" si="131"/>
        <v>1500.64</v>
      </c>
      <c r="AH172" s="112">
        <f t="shared" si="131"/>
        <v>1698.22</v>
      </c>
      <c r="AI172" s="112">
        <f t="shared" si="131"/>
        <v>1678.82</v>
      </c>
      <c r="AJ172" s="112">
        <f t="shared" si="131"/>
        <v>1681.8</v>
      </c>
      <c r="AK172" s="112">
        <f t="shared" si="131"/>
        <v>1604.7419999999997</v>
      </c>
      <c r="AL172" s="112">
        <f t="shared" si="131"/>
        <v>1811.08</v>
      </c>
      <c r="AN172" s="111" t="s">
        <v>131</v>
      </c>
      <c r="AO172" s="113">
        <f t="shared" ref="AO172:AW172" si="148">H172/H168</f>
        <v>0.2443967725409836</v>
      </c>
      <c r="AP172" s="113">
        <f t="shared" si="148"/>
        <v>0.28995669876559166</v>
      </c>
      <c r="AQ172" s="113">
        <f t="shared" si="148"/>
        <v>0.33829660512209647</v>
      </c>
      <c r="AR172" s="113">
        <f t="shared" si="148"/>
        <v>0.35064303873186781</v>
      </c>
      <c r="AS172" s="113">
        <f t="shared" si="148"/>
        <v>0.33980914724556133</v>
      </c>
      <c r="AT172" s="113">
        <f t="shared" si="148"/>
        <v>0.25087419379905196</v>
      </c>
      <c r="AU172" s="113">
        <f t="shared" si="148"/>
        <v>0.32663921690490988</v>
      </c>
      <c r="AV172" s="113">
        <f t="shared" si="148"/>
        <v>0.39638723254998248</v>
      </c>
      <c r="AW172" s="113">
        <f t="shared" si="148"/>
        <v>0.42850463928648491</v>
      </c>
      <c r="AY172" s="111" t="s">
        <v>131</v>
      </c>
      <c r="AZ172" s="179">
        <f t="shared" si="133"/>
        <v>4.2036244877049177E-2</v>
      </c>
      <c r="BA172" s="179">
        <f t="shared" si="133"/>
        <v>5.3931945970400054E-2</v>
      </c>
      <c r="BB172" s="179">
        <f t="shared" si="133"/>
        <v>6.4276354973198335E-2</v>
      </c>
      <c r="BC172" s="179">
        <f t="shared" si="133"/>
        <v>5.6102886197098849E-2</v>
      </c>
      <c r="BD172" s="179">
        <f t="shared" si="133"/>
        <v>6.4563737976656654E-2</v>
      </c>
      <c r="BE172" s="179">
        <f t="shared" si="133"/>
        <v>6.5227290387753503E-2</v>
      </c>
      <c r="BF172" s="179">
        <f t="shared" si="133"/>
        <v>6.5327843380981979E-2</v>
      </c>
      <c r="BG172" s="179">
        <f t="shared" si="133"/>
        <v>5.6286987022097508E-2</v>
      </c>
      <c r="BH172" s="179">
        <f t="shared" si="133"/>
        <v>6.5132705171545707E-2</v>
      </c>
    </row>
    <row r="173" spans="2:68" s="87" customFormat="1" x14ac:dyDescent="0.25">
      <c r="B173" s="84"/>
      <c r="C173" s="85"/>
      <c r="D173" s="85"/>
      <c r="E173" s="109" t="s">
        <v>3</v>
      </c>
      <c r="F173" s="110" t="s">
        <v>53</v>
      </c>
      <c r="G173" s="195" t="s">
        <v>7</v>
      </c>
      <c r="H173" s="69">
        <v>33019</v>
      </c>
      <c r="I173" s="69">
        <v>35598</v>
      </c>
      <c r="J173" s="69">
        <v>37384</v>
      </c>
      <c r="K173" s="69">
        <v>39834</v>
      </c>
      <c r="L173" s="69">
        <v>42115</v>
      </c>
      <c r="M173" s="69">
        <v>43725</v>
      </c>
      <c r="N173" s="69">
        <v>43382</v>
      </c>
      <c r="O173" s="69">
        <v>41549</v>
      </c>
      <c r="P173" s="69">
        <v>42782</v>
      </c>
      <c r="R173" s="195" t="s">
        <v>7</v>
      </c>
      <c r="S173" s="226">
        <v>1.5</v>
      </c>
      <c r="T173" s="226">
        <v>1.9</v>
      </c>
      <c r="U173" s="226">
        <v>1.6</v>
      </c>
      <c r="V173" s="226">
        <v>1.6</v>
      </c>
      <c r="W173" s="226">
        <v>1.7</v>
      </c>
      <c r="X173" s="226">
        <v>1.8</v>
      </c>
      <c r="Y173" s="226">
        <v>1.7</v>
      </c>
      <c r="Z173" s="226">
        <v>1.5</v>
      </c>
      <c r="AA173" s="226">
        <v>1.1000000000000001</v>
      </c>
      <c r="AC173" s="195" t="s">
        <v>7</v>
      </c>
      <c r="AD173" s="69">
        <f t="shared" si="135"/>
        <v>990.57</v>
      </c>
      <c r="AE173" s="69">
        <f t="shared" si="131"/>
        <v>1352.7239999999999</v>
      </c>
      <c r="AF173" s="69">
        <f t="shared" si="131"/>
        <v>1196.288</v>
      </c>
      <c r="AG173" s="69">
        <f t="shared" si="131"/>
        <v>1274.6880000000001</v>
      </c>
      <c r="AH173" s="69">
        <f t="shared" si="131"/>
        <v>1431.91</v>
      </c>
      <c r="AI173" s="69">
        <f t="shared" si="131"/>
        <v>1574.1</v>
      </c>
      <c r="AJ173" s="69">
        <f t="shared" si="131"/>
        <v>1474.9879999999998</v>
      </c>
      <c r="AK173" s="69">
        <f t="shared" si="131"/>
        <v>1246.47</v>
      </c>
      <c r="AL173" s="69">
        <f t="shared" si="131"/>
        <v>941.20400000000006</v>
      </c>
      <c r="AN173" s="195" t="s">
        <v>7</v>
      </c>
      <c r="AO173" s="98">
        <f t="shared" ref="AO173:AW173" si="149">H173/H173</f>
        <v>1</v>
      </c>
      <c r="AP173" s="98">
        <f t="shared" si="149"/>
        <v>1</v>
      </c>
      <c r="AQ173" s="98">
        <f t="shared" si="149"/>
        <v>1</v>
      </c>
      <c r="AR173" s="98">
        <f t="shared" si="149"/>
        <v>1</v>
      </c>
      <c r="AS173" s="98">
        <f t="shared" si="149"/>
        <v>1</v>
      </c>
      <c r="AT173" s="98">
        <f t="shared" si="149"/>
        <v>1</v>
      </c>
      <c r="AU173" s="98">
        <f t="shared" si="149"/>
        <v>1</v>
      </c>
      <c r="AV173" s="98">
        <f t="shared" si="149"/>
        <v>1</v>
      </c>
      <c r="AW173" s="98">
        <f t="shared" si="149"/>
        <v>1</v>
      </c>
      <c r="AX173" s="191"/>
      <c r="AY173" s="195" t="s">
        <v>7</v>
      </c>
      <c r="AZ173" s="178">
        <f t="shared" si="133"/>
        <v>0.03</v>
      </c>
      <c r="BA173" s="178">
        <f t="shared" si="133"/>
        <v>3.7999999999999999E-2</v>
      </c>
      <c r="BB173" s="178">
        <f t="shared" si="133"/>
        <v>3.2000000000000001E-2</v>
      </c>
      <c r="BC173" s="178">
        <f t="shared" si="133"/>
        <v>3.2000000000000001E-2</v>
      </c>
      <c r="BD173" s="178">
        <f t="shared" si="133"/>
        <v>3.4000000000000002E-2</v>
      </c>
      <c r="BE173" s="178">
        <f t="shared" si="133"/>
        <v>3.6000000000000004E-2</v>
      </c>
      <c r="BF173" s="178">
        <f t="shared" si="133"/>
        <v>3.4000000000000002E-2</v>
      </c>
      <c r="BG173" s="178">
        <f t="shared" si="133"/>
        <v>0.03</v>
      </c>
      <c r="BH173" s="178">
        <f t="shared" si="133"/>
        <v>2.2000000000000002E-2</v>
      </c>
      <c r="BI173" s="191"/>
      <c r="BJ173" s="191"/>
      <c r="BK173" s="191"/>
      <c r="BL173" s="191"/>
      <c r="BM173" s="191"/>
      <c r="BN173" s="191"/>
      <c r="BO173" s="191"/>
      <c r="BP173" s="191"/>
    </row>
    <row r="174" spans="2:68" s="108" customFormat="1" x14ac:dyDescent="0.25">
      <c r="B174" s="107"/>
      <c r="E174" s="109" t="s">
        <v>3</v>
      </c>
      <c r="F174" s="110" t="s">
        <v>53</v>
      </c>
      <c r="G174" s="111" t="s">
        <v>54</v>
      </c>
      <c r="H174" s="112">
        <v>9484</v>
      </c>
      <c r="I174" s="112">
        <v>8632</v>
      </c>
      <c r="J174" s="112">
        <v>10318</v>
      </c>
      <c r="K174" s="112">
        <v>9729</v>
      </c>
      <c r="L174" s="112">
        <v>11070</v>
      </c>
      <c r="M174" s="112">
        <v>9677</v>
      </c>
      <c r="N174" s="112">
        <v>9837</v>
      </c>
      <c r="O174" s="112">
        <v>7387</v>
      </c>
      <c r="P174" s="112">
        <v>9026</v>
      </c>
      <c r="R174" s="111" t="s">
        <v>54</v>
      </c>
      <c r="S174" s="220">
        <v>7.3</v>
      </c>
      <c r="T174" s="220">
        <v>10.199999999999999</v>
      </c>
      <c r="U174" s="220">
        <v>9.6</v>
      </c>
      <c r="V174" s="220">
        <v>8.9</v>
      </c>
      <c r="W174" s="220">
        <v>8.3000000000000007</v>
      </c>
      <c r="X174" s="220">
        <v>11</v>
      </c>
      <c r="Y174" s="220">
        <v>10.1</v>
      </c>
      <c r="Z174" s="220">
        <v>11</v>
      </c>
      <c r="AA174" s="220">
        <v>9.3000000000000007</v>
      </c>
      <c r="AC174" s="111" t="s">
        <v>54</v>
      </c>
      <c r="AD174" s="112">
        <f t="shared" si="135"/>
        <v>1384.664</v>
      </c>
      <c r="AE174" s="112">
        <f t="shared" si="131"/>
        <v>1760.9279999999999</v>
      </c>
      <c r="AF174" s="112">
        <f t="shared" si="131"/>
        <v>1981.056</v>
      </c>
      <c r="AG174" s="112">
        <f t="shared" si="131"/>
        <v>1731.7620000000002</v>
      </c>
      <c r="AH174" s="112">
        <f t="shared" si="131"/>
        <v>1837.6200000000003</v>
      </c>
      <c r="AI174" s="112">
        <f t="shared" si="131"/>
        <v>2128.94</v>
      </c>
      <c r="AJ174" s="112">
        <f t="shared" si="131"/>
        <v>1987.0739999999998</v>
      </c>
      <c r="AK174" s="112">
        <f t="shared" si="131"/>
        <v>1625.14</v>
      </c>
      <c r="AL174" s="112">
        <f t="shared" si="131"/>
        <v>1678.836</v>
      </c>
      <c r="AN174" s="111" t="s">
        <v>54</v>
      </c>
      <c r="AO174" s="113">
        <f t="shared" ref="AO174:AW174" si="150">H174/H173</f>
        <v>0.2872285653714528</v>
      </c>
      <c r="AP174" s="113">
        <f t="shared" si="150"/>
        <v>0.24248553289510646</v>
      </c>
      <c r="AQ174" s="113">
        <f t="shared" si="150"/>
        <v>0.27600042799058422</v>
      </c>
      <c r="AR174" s="113">
        <f t="shared" si="150"/>
        <v>0.24423859014911883</v>
      </c>
      <c r="AS174" s="113">
        <f t="shared" si="150"/>
        <v>0.26285171554078118</v>
      </c>
      <c r="AT174" s="113">
        <f t="shared" si="150"/>
        <v>0.22131503716409376</v>
      </c>
      <c r="AU174" s="113">
        <f t="shared" si="150"/>
        <v>0.22675303121110138</v>
      </c>
      <c r="AV174" s="113">
        <f t="shared" si="150"/>
        <v>0.17779007918361453</v>
      </c>
      <c r="AW174" s="113">
        <f t="shared" si="150"/>
        <v>0.21097657893506616</v>
      </c>
      <c r="AY174" s="111" t="s">
        <v>54</v>
      </c>
      <c r="AZ174" s="179">
        <f t="shared" si="133"/>
        <v>4.193537054423211E-2</v>
      </c>
      <c r="BA174" s="179">
        <f t="shared" si="133"/>
        <v>4.9467048710601709E-2</v>
      </c>
      <c r="BB174" s="179">
        <f t="shared" si="133"/>
        <v>5.299208217419217E-2</v>
      </c>
      <c r="BC174" s="179">
        <f t="shared" si="133"/>
        <v>4.3474469046543153E-2</v>
      </c>
      <c r="BD174" s="179">
        <f t="shared" si="133"/>
        <v>4.3633384779769677E-2</v>
      </c>
      <c r="BE174" s="179">
        <f t="shared" si="133"/>
        <v>4.8689308176100628E-2</v>
      </c>
      <c r="BF174" s="179">
        <f t="shared" si="133"/>
        <v>4.5804112304642472E-2</v>
      </c>
      <c r="BG174" s="179">
        <f t="shared" si="133"/>
        <v>3.9113817420395193E-2</v>
      </c>
      <c r="BH174" s="179">
        <f t="shared" si="133"/>
        <v>3.924164368192231E-2</v>
      </c>
    </row>
    <row r="175" spans="2:68" s="108" customFormat="1" x14ac:dyDescent="0.25">
      <c r="B175" s="107"/>
      <c r="E175" s="109" t="s">
        <v>3</v>
      </c>
      <c r="F175" s="110" t="s">
        <v>53</v>
      </c>
      <c r="G175" s="111" t="s">
        <v>55</v>
      </c>
      <c r="H175" s="70">
        <v>11310</v>
      </c>
      <c r="I175" s="70">
        <v>13447</v>
      </c>
      <c r="J175" s="112">
        <v>15870</v>
      </c>
      <c r="K175" s="112">
        <v>14778</v>
      </c>
      <c r="L175" s="112">
        <v>16842</v>
      </c>
      <c r="M175" s="112">
        <v>16355</v>
      </c>
      <c r="N175" s="112">
        <v>18446</v>
      </c>
      <c r="O175" s="112">
        <v>16713</v>
      </c>
      <c r="P175" s="112">
        <v>17059</v>
      </c>
      <c r="R175" s="111" t="s">
        <v>55</v>
      </c>
      <c r="S175" s="81">
        <v>6.7</v>
      </c>
      <c r="T175" s="81">
        <v>7.2</v>
      </c>
      <c r="U175" s="81">
        <v>6.6</v>
      </c>
      <c r="V175" s="81">
        <v>6.4</v>
      </c>
      <c r="W175" s="81">
        <v>6.7</v>
      </c>
      <c r="X175" s="81">
        <v>7.4</v>
      </c>
      <c r="Y175" s="81">
        <v>6.2</v>
      </c>
      <c r="Z175" s="81">
        <v>6.1</v>
      </c>
      <c r="AA175" s="81">
        <v>5.8</v>
      </c>
      <c r="AC175" s="111" t="s">
        <v>55</v>
      </c>
      <c r="AD175" s="70">
        <f t="shared" si="135"/>
        <v>1515.54</v>
      </c>
      <c r="AE175" s="70">
        <f t="shared" si="131"/>
        <v>1936.3680000000002</v>
      </c>
      <c r="AF175" s="70">
        <f t="shared" si="131"/>
        <v>2094.84</v>
      </c>
      <c r="AG175" s="70">
        <f t="shared" si="131"/>
        <v>1891.5840000000003</v>
      </c>
      <c r="AH175" s="70">
        <f t="shared" si="131"/>
        <v>2256.828</v>
      </c>
      <c r="AI175" s="70">
        <f t="shared" si="131"/>
        <v>2420.54</v>
      </c>
      <c r="AJ175" s="70">
        <f t="shared" si="131"/>
        <v>2287.3040000000001</v>
      </c>
      <c r="AK175" s="70">
        <f t="shared" si="131"/>
        <v>2038.9859999999999</v>
      </c>
      <c r="AL175" s="70">
        <f t="shared" si="131"/>
        <v>1978.8440000000001</v>
      </c>
      <c r="AN175" s="111" t="s">
        <v>55</v>
      </c>
      <c r="AO175" s="113">
        <f t="shared" ref="AO175:AW175" si="151">H175/H173</f>
        <v>0.34253005845119477</v>
      </c>
      <c r="AP175" s="113">
        <f t="shared" si="151"/>
        <v>0.37774594078319007</v>
      </c>
      <c r="AQ175" s="113">
        <f t="shared" si="151"/>
        <v>0.42451316071046435</v>
      </c>
      <c r="AR175" s="113">
        <f t="shared" si="151"/>
        <v>0.3709896068685043</v>
      </c>
      <c r="AS175" s="113">
        <f t="shared" si="151"/>
        <v>0.39990502196367089</v>
      </c>
      <c r="AT175" s="113">
        <f t="shared" si="151"/>
        <v>0.3740423098913665</v>
      </c>
      <c r="AU175" s="113">
        <f t="shared" si="151"/>
        <v>0.42519939145267621</v>
      </c>
      <c r="AV175" s="113">
        <f t="shared" si="151"/>
        <v>0.40224794820573301</v>
      </c>
      <c r="AW175" s="113">
        <f t="shared" si="151"/>
        <v>0.39874246178299283</v>
      </c>
      <c r="AY175" s="111" t="s">
        <v>55</v>
      </c>
      <c r="AZ175" s="179">
        <f t="shared" si="133"/>
        <v>4.5899027832460096E-2</v>
      </c>
      <c r="BA175" s="179">
        <f t="shared" si="133"/>
        <v>5.4395415472779367E-2</v>
      </c>
      <c r="BB175" s="179">
        <f t="shared" si="133"/>
        <v>5.6035737213781293E-2</v>
      </c>
      <c r="BC175" s="179">
        <f t="shared" si="133"/>
        <v>4.748666967916855E-2</v>
      </c>
      <c r="BD175" s="179">
        <f t="shared" si="133"/>
        <v>5.3587272943131897E-2</v>
      </c>
      <c r="BE175" s="179">
        <f t="shared" si="133"/>
        <v>5.5358261863922245E-2</v>
      </c>
      <c r="BF175" s="179">
        <f t="shared" si="133"/>
        <v>5.272472454013185E-2</v>
      </c>
      <c r="BG175" s="179">
        <f t="shared" si="133"/>
        <v>4.907424968109942E-2</v>
      </c>
      <c r="BH175" s="179">
        <f t="shared" si="133"/>
        <v>4.6254125566827169E-2</v>
      </c>
    </row>
    <row r="176" spans="2:68" s="108" customFormat="1" x14ac:dyDescent="0.25">
      <c r="B176" s="107"/>
      <c r="E176" s="109" t="s">
        <v>3</v>
      </c>
      <c r="F176" s="110" t="s">
        <v>53</v>
      </c>
      <c r="G176" s="111" t="s">
        <v>130</v>
      </c>
      <c r="H176" s="70">
        <v>4275</v>
      </c>
      <c r="I176" s="70">
        <v>3965</v>
      </c>
      <c r="J176" s="70">
        <v>5291</v>
      </c>
      <c r="K176" s="70">
        <v>4200</v>
      </c>
      <c r="L176" s="70">
        <v>3951</v>
      </c>
      <c r="M176" s="70">
        <v>5178</v>
      </c>
      <c r="N176" s="70">
        <v>5316</v>
      </c>
      <c r="O176" s="112">
        <v>5516</v>
      </c>
      <c r="P176" s="112">
        <v>5531</v>
      </c>
      <c r="R176" s="111" t="s">
        <v>130</v>
      </c>
      <c r="S176" s="220">
        <v>12</v>
      </c>
      <c r="T176" s="220">
        <v>17.7</v>
      </c>
      <c r="U176" s="220">
        <v>14</v>
      </c>
      <c r="V176" s="220">
        <v>14.1</v>
      </c>
      <c r="W176" s="220">
        <v>18.8</v>
      </c>
      <c r="X176" s="220">
        <v>15.6</v>
      </c>
      <c r="Y176" s="220">
        <v>14.3</v>
      </c>
      <c r="Z176" s="220">
        <v>13.4</v>
      </c>
      <c r="AA176" s="220">
        <v>13.6</v>
      </c>
      <c r="AC176" s="111" t="s">
        <v>130</v>
      </c>
      <c r="AD176" s="70">
        <f t="shared" si="135"/>
        <v>1026</v>
      </c>
      <c r="AE176" s="70">
        <f t="shared" si="131"/>
        <v>1403.61</v>
      </c>
      <c r="AF176" s="70">
        <f t="shared" si="131"/>
        <v>1481.48</v>
      </c>
      <c r="AG176" s="70">
        <f t="shared" si="131"/>
        <v>1184.4000000000001</v>
      </c>
      <c r="AH176" s="70">
        <f t="shared" si="131"/>
        <v>1485.576</v>
      </c>
      <c r="AI176" s="70">
        <f t="shared" si="131"/>
        <v>1615.5360000000001</v>
      </c>
      <c r="AJ176" s="70">
        <f t="shared" si="131"/>
        <v>1520.376</v>
      </c>
      <c r="AK176" s="70">
        <f t="shared" si="131"/>
        <v>1478.2880000000002</v>
      </c>
      <c r="AL176" s="70">
        <f t="shared" si="131"/>
        <v>1504.4319999999998</v>
      </c>
      <c r="AN176" s="111" t="s">
        <v>130</v>
      </c>
      <c r="AO176" s="113">
        <f t="shared" ref="AO176:AW176" si="152">H176/H173</f>
        <v>0.12947091068778582</v>
      </c>
      <c r="AP176" s="113">
        <f t="shared" si="152"/>
        <v>0.11138266194730041</v>
      </c>
      <c r="AQ176" s="113">
        <f t="shared" si="152"/>
        <v>0.14153113631500108</v>
      </c>
      <c r="AR176" s="113">
        <f t="shared" si="152"/>
        <v>0.10543756589847869</v>
      </c>
      <c r="AS176" s="113">
        <f t="shared" si="152"/>
        <v>9.3814555384067438E-2</v>
      </c>
      <c r="AT176" s="113">
        <f t="shared" si="152"/>
        <v>0.11842195540308748</v>
      </c>
      <c r="AU176" s="113">
        <f t="shared" si="152"/>
        <v>0.12253930201466046</v>
      </c>
      <c r="AV176" s="113">
        <f t="shared" si="152"/>
        <v>0.13275891116513033</v>
      </c>
      <c r="AW176" s="113">
        <f t="shared" si="152"/>
        <v>0.12928334346220374</v>
      </c>
      <c r="AY176" s="111" t="s">
        <v>130</v>
      </c>
      <c r="AZ176" s="179">
        <f t="shared" si="133"/>
        <v>3.1073018565068597E-2</v>
      </c>
      <c r="BA176" s="179">
        <f t="shared" si="133"/>
        <v>3.9429462329344342E-2</v>
      </c>
      <c r="BB176" s="179">
        <f t="shared" si="133"/>
        <v>3.9628718168200301E-2</v>
      </c>
      <c r="BC176" s="179">
        <f t="shared" si="133"/>
        <v>2.9733393583370987E-2</v>
      </c>
      <c r="BD176" s="179">
        <f t="shared" si="133"/>
        <v>3.5274272824409356E-2</v>
      </c>
      <c r="BE176" s="179">
        <f t="shared" si="133"/>
        <v>3.6947650085763291E-2</v>
      </c>
      <c r="BF176" s="179">
        <f t="shared" si="133"/>
        <v>3.5046240376192889E-2</v>
      </c>
      <c r="BG176" s="179">
        <f t="shared" si="133"/>
        <v>3.5579388192254931E-2</v>
      </c>
      <c r="BH176" s="179">
        <f t="shared" si="133"/>
        <v>3.5165069421719417E-2</v>
      </c>
    </row>
    <row r="177" spans="2:68" s="108" customFormat="1" x14ac:dyDescent="0.25">
      <c r="B177" s="107"/>
      <c r="E177" s="109" t="s">
        <v>3</v>
      </c>
      <c r="F177" s="110" t="s">
        <v>53</v>
      </c>
      <c r="G177" s="111" t="s">
        <v>131</v>
      </c>
      <c r="H177" s="112">
        <v>7950</v>
      </c>
      <c r="I177" s="112">
        <v>9553</v>
      </c>
      <c r="J177" s="112">
        <v>5904</v>
      </c>
      <c r="K177" s="112">
        <v>11127</v>
      </c>
      <c r="L177" s="112">
        <v>10252</v>
      </c>
      <c r="M177" s="112">
        <v>12515</v>
      </c>
      <c r="N177" s="112">
        <v>9783</v>
      </c>
      <c r="O177" s="112">
        <v>11933</v>
      </c>
      <c r="P177" s="112">
        <v>11166</v>
      </c>
      <c r="R177" s="111" t="s">
        <v>131</v>
      </c>
      <c r="S177" s="220">
        <v>9.1</v>
      </c>
      <c r="T177" s="220">
        <v>9.3000000000000007</v>
      </c>
      <c r="U177" s="220">
        <v>12.7</v>
      </c>
      <c r="V177" s="220">
        <v>8</v>
      </c>
      <c r="W177" s="220">
        <v>9.4</v>
      </c>
      <c r="X177" s="220">
        <v>9.1999999999999993</v>
      </c>
      <c r="Y177" s="220">
        <v>10.1</v>
      </c>
      <c r="Z177" s="220">
        <v>7.9</v>
      </c>
      <c r="AA177" s="220">
        <v>5.0999999999999996</v>
      </c>
      <c r="AC177" s="111" t="s">
        <v>131</v>
      </c>
      <c r="AD177" s="112">
        <f t="shared" si="135"/>
        <v>1446.9</v>
      </c>
      <c r="AE177" s="112">
        <f t="shared" si="131"/>
        <v>1776.8580000000002</v>
      </c>
      <c r="AF177" s="112">
        <f t="shared" si="131"/>
        <v>1499.616</v>
      </c>
      <c r="AG177" s="112">
        <f t="shared" si="131"/>
        <v>1780.32</v>
      </c>
      <c r="AH177" s="112">
        <f t="shared" si="131"/>
        <v>1927.376</v>
      </c>
      <c r="AI177" s="112">
        <f t="shared" si="131"/>
        <v>2302.7599999999998</v>
      </c>
      <c r="AJ177" s="112">
        <f t="shared" si="131"/>
        <v>1976.1660000000002</v>
      </c>
      <c r="AK177" s="112">
        <f t="shared" si="131"/>
        <v>1885.414</v>
      </c>
      <c r="AL177" s="112">
        <f t="shared" si="131"/>
        <v>1138.932</v>
      </c>
      <c r="AN177" s="111" t="s">
        <v>131</v>
      </c>
      <c r="AO177" s="113">
        <f t="shared" ref="AO177:AW177" si="153">H177/H173</f>
        <v>0.24077046548956663</v>
      </c>
      <c r="AP177" s="113">
        <f t="shared" si="153"/>
        <v>0.26835777290859036</v>
      </c>
      <c r="AQ177" s="113">
        <f t="shared" si="153"/>
        <v>0.15792852557243742</v>
      </c>
      <c r="AR177" s="113">
        <f t="shared" si="153"/>
        <v>0.27933423708389815</v>
      </c>
      <c r="AS177" s="113">
        <f t="shared" si="153"/>
        <v>0.24342870711148046</v>
      </c>
      <c r="AT177" s="113">
        <f t="shared" si="153"/>
        <v>0.28622069754145224</v>
      </c>
      <c r="AU177" s="113">
        <f t="shared" si="153"/>
        <v>0.22550827532156195</v>
      </c>
      <c r="AV177" s="113">
        <f t="shared" si="153"/>
        <v>0.28720306144552216</v>
      </c>
      <c r="AW177" s="113">
        <f t="shared" si="153"/>
        <v>0.26099761581973729</v>
      </c>
      <c r="AY177" s="111" t="s">
        <v>131</v>
      </c>
      <c r="AZ177" s="179">
        <f t="shared" si="133"/>
        <v>4.3820224719101131E-2</v>
      </c>
      <c r="BA177" s="179">
        <f t="shared" si="133"/>
        <v>4.9914545760997811E-2</v>
      </c>
      <c r="BB177" s="179">
        <f t="shared" si="133"/>
        <v>4.0113845495399099E-2</v>
      </c>
      <c r="BC177" s="179">
        <f t="shared" si="133"/>
        <v>4.4693477933423702E-2</v>
      </c>
      <c r="BD177" s="179">
        <f t="shared" si="133"/>
        <v>4.5764596936958328E-2</v>
      </c>
      <c r="BE177" s="179">
        <f t="shared" si="133"/>
        <v>5.2664608347627206E-2</v>
      </c>
      <c r="BF177" s="179">
        <f t="shared" si="133"/>
        <v>4.5552671614955506E-2</v>
      </c>
      <c r="BG177" s="179">
        <f t="shared" si="133"/>
        <v>4.5378083708392497E-2</v>
      </c>
      <c r="BH177" s="179">
        <f t="shared" si="133"/>
        <v>2.6621756813613201E-2</v>
      </c>
    </row>
    <row r="178" spans="2:68" s="87" customFormat="1" x14ac:dyDescent="0.25">
      <c r="B178" s="84"/>
      <c r="C178" s="85"/>
      <c r="D178" s="85"/>
      <c r="E178" s="109" t="s">
        <v>45</v>
      </c>
      <c r="F178" s="110" t="s">
        <v>53</v>
      </c>
      <c r="G178" s="195" t="s">
        <v>7</v>
      </c>
      <c r="H178" s="69">
        <v>17104</v>
      </c>
      <c r="I178" s="69">
        <v>17349</v>
      </c>
      <c r="J178" s="69">
        <v>17849</v>
      </c>
      <c r="K178" s="69">
        <v>18748</v>
      </c>
      <c r="L178" s="69">
        <v>19935</v>
      </c>
      <c r="M178" s="69">
        <v>22219</v>
      </c>
      <c r="N178" s="69">
        <v>23879</v>
      </c>
      <c r="O178" s="69">
        <v>25998</v>
      </c>
      <c r="P178" s="69">
        <v>27616</v>
      </c>
      <c r="R178" s="195" t="s">
        <v>7</v>
      </c>
      <c r="S178" s="226">
        <v>1.9</v>
      </c>
      <c r="T178" s="226">
        <v>2.5</v>
      </c>
      <c r="U178" s="226">
        <v>2.5</v>
      </c>
      <c r="V178" s="226">
        <v>2.2000000000000002</v>
      </c>
      <c r="W178" s="226">
        <v>2.4</v>
      </c>
      <c r="X178" s="226">
        <v>2.5</v>
      </c>
      <c r="Y178" s="226">
        <v>2.2000000000000002</v>
      </c>
      <c r="Z178" s="226">
        <v>2</v>
      </c>
      <c r="AA178" s="226">
        <v>2</v>
      </c>
      <c r="AC178" s="195" t="s">
        <v>7</v>
      </c>
      <c r="AD178" s="69">
        <f t="shared" si="135"/>
        <v>649.952</v>
      </c>
      <c r="AE178" s="69">
        <f t="shared" si="131"/>
        <v>867.45</v>
      </c>
      <c r="AF178" s="69">
        <f t="shared" si="131"/>
        <v>892.45</v>
      </c>
      <c r="AG178" s="69">
        <f t="shared" si="131"/>
        <v>824.91200000000015</v>
      </c>
      <c r="AH178" s="69">
        <f t="shared" si="131"/>
        <v>956.88</v>
      </c>
      <c r="AI178" s="69">
        <f t="shared" si="131"/>
        <v>1110.95</v>
      </c>
      <c r="AJ178" s="69">
        <f t="shared" si="131"/>
        <v>1050.6760000000002</v>
      </c>
      <c r="AK178" s="69">
        <f t="shared" si="131"/>
        <v>1039.92</v>
      </c>
      <c r="AL178" s="69">
        <f t="shared" si="131"/>
        <v>1104.6400000000001</v>
      </c>
      <c r="AN178" s="195" t="s">
        <v>7</v>
      </c>
      <c r="AO178" s="98">
        <f t="shared" ref="AO178:AW178" si="154">H178/H178</f>
        <v>1</v>
      </c>
      <c r="AP178" s="98">
        <f t="shared" si="154"/>
        <v>1</v>
      </c>
      <c r="AQ178" s="98">
        <f t="shared" si="154"/>
        <v>1</v>
      </c>
      <c r="AR178" s="98">
        <f t="shared" si="154"/>
        <v>1</v>
      </c>
      <c r="AS178" s="98">
        <f t="shared" si="154"/>
        <v>1</v>
      </c>
      <c r="AT178" s="98">
        <f t="shared" si="154"/>
        <v>1</v>
      </c>
      <c r="AU178" s="98">
        <f t="shared" si="154"/>
        <v>1</v>
      </c>
      <c r="AV178" s="98">
        <f t="shared" si="154"/>
        <v>1</v>
      </c>
      <c r="AW178" s="98">
        <f t="shared" si="154"/>
        <v>1</v>
      </c>
      <c r="AX178" s="191"/>
      <c r="AY178" s="195" t="s">
        <v>7</v>
      </c>
      <c r="AZ178" s="178">
        <f t="shared" si="133"/>
        <v>3.7999999999999999E-2</v>
      </c>
      <c r="BA178" s="178">
        <f t="shared" si="133"/>
        <v>0.05</v>
      </c>
      <c r="BB178" s="178">
        <f t="shared" si="133"/>
        <v>0.05</v>
      </c>
      <c r="BC178" s="178">
        <f t="shared" si="133"/>
        <v>4.4000000000000004E-2</v>
      </c>
      <c r="BD178" s="178">
        <f t="shared" si="133"/>
        <v>4.8000000000000001E-2</v>
      </c>
      <c r="BE178" s="178">
        <f t="shared" si="133"/>
        <v>0.05</v>
      </c>
      <c r="BF178" s="178">
        <f t="shared" si="133"/>
        <v>4.4000000000000004E-2</v>
      </c>
      <c r="BG178" s="178">
        <f t="shared" si="133"/>
        <v>0.04</v>
      </c>
      <c r="BH178" s="178">
        <f t="shared" si="133"/>
        <v>0.04</v>
      </c>
      <c r="BI178" s="191"/>
      <c r="BJ178" s="191"/>
      <c r="BK178" s="191"/>
      <c r="BL178" s="191"/>
      <c r="BM178" s="191"/>
      <c r="BN178" s="191"/>
      <c r="BO178" s="191"/>
      <c r="BP178" s="191"/>
    </row>
    <row r="179" spans="2:68" s="108" customFormat="1" x14ac:dyDescent="0.25">
      <c r="B179" s="107"/>
      <c r="E179" s="109" t="s">
        <v>45</v>
      </c>
      <c r="F179" s="110" t="s">
        <v>53</v>
      </c>
      <c r="G179" s="111" t="s">
        <v>54</v>
      </c>
      <c r="H179" s="112">
        <v>2394</v>
      </c>
      <c r="I179" s="112">
        <v>2082</v>
      </c>
      <c r="J179" s="112">
        <v>1968</v>
      </c>
      <c r="K179" s="112">
        <v>2175</v>
      </c>
      <c r="L179" s="112">
        <v>1514</v>
      </c>
      <c r="M179" s="112">
        <v>2631</v>
      </c>
      <c r="N179" s="112">
        <v>1671</v>
      </c>
      <c r="O179" s="112">
        <v>2082</v>
      </c>
      <c r="P179" s="112">
        <v>3183</v>
      </c>
      <c r="R179" s="111" t="s">
        <v>54</v>
      </c>
      <c r="S179" s="220">
        <v>17</v>
      </c>
      <c r="T179" s="220">
        <v>21.7</v>
      </c>
      <c r="U179" s="220">
        <v>31.2</v>
      </c>
      <c r="V179" s="220">
        <v>19.899999999999999</v>
      </c>
      <c r="W179" s="220">
        <v>33.200000000000003</v>
      </c>
      <c r="X179" s="220">
        <v>24.7</v>
      </c>
      <c r="Y179" s="220">
        <v>32.9</v>
      </c>
      <c r="Z179" s="220">
        <v>21.8</v>
      </c>
      <c r="AA179" s="220">
        <v>17</v>
      </c>
      <c r="AC179" s="111" t="s">
        <v>54</v>
      </c>
      <c r="AD179" s="112">
        <f t="shared" si="135"/>
        <v>813.96</v>
      </c>
      <c r="AE179" s="112">
        <f t="shared" si="131"/>
        <v>903.58800000000008</v>
      </c>
      <c r="AF179" s="112">
        <f t="shared" si="131"/>
        <v>1228.0319999999999</v>
      </c>
      <c r="AG179" s="112">
        <f t="shared" si="131"/>
        <v>865.65</v>
      </c>
      <c r="AH179" s="112">
        <f t="shared" si="131"/>
        <v>1005.296</v>
      </c>
      <c r="AI179" s="112">
        <f t="shared" si="131"/>
        <v>1299.7139999999999</v>
      </c>
      <c r="AJ179" s="112">
        <f t="shared" si="131"/>
        <v>1099.5179999999998</v>
      </c>
      <c r="AK179" s="112">
        <f t="shared" si="131"/>
        <v>907.75199999999995</v>
      </c>
      <c r="AL179" s="112">
        <f t="shared" si="131"/>
        <v>1082.22</v>
      </c>
      <c r="AN179" s="111" t="s">
        <v>54</v>
      </c>
      <c r="AO179" s="113">
        <f t="shared" ref="AO179:AW179" si="155">H179/H178</f>
        <v>0.13996725912067354</v>
      </c>
      <c r="AP179" s="113">
        <f t="shared" si="155"/>
        <v>0.12000691682517724</v>
      </c>
      <c r="AQ179" s="113">
        <f t="shared" si="155"/>
        <v>0.11025827777466525</v>
      </c>
      <c r="AR179" s="113">
        <f t="shared" si="155"/>
        <v>0.11601237465329635</v>
      </c>
      <c r="AS179" s="113">
        <f t="shared" si="155"/>
        <v>7.5946827188362181E-2</v>
      </c>
      <c r="AT179" s="113">
        <f t="shared" si="155"/>
        <v>0.11841216976461587</v>
      </c>
      <c r="AU179" s="113">
        <f t="shared" si="155"/>
        <v>6.9977804765693707E-2</v>
      </c>
      <c r="AV179" s="113">
        <f t="shared" si="155"/>
        <v>8.0083083314101078E-2</v>
      </c>
      <c r="AW179" s="113">
        <f t="shared" si="155"/>
        <v>0.11525926998841252</v>
      </c>
      <c r="AY179" s="111" t="s">
        <v>54</v>
      </c>
      <c r="AZ179" s="179">
        <f t="shared" si="133"/>
        <v>4.7588868101029004E-2</v>
      </c>
      <c r="BA179" s="179">
        <f t="shared" si="133"/>
        <v>5.2083001902126919E-2</v>
      </c>
      <c r="BB179" s="179">
        <f t="shared" si="133"/>
        <v>6.880116533139112E-2</v>
      </c>
      <c r="BC179" s="179">
        <f t="shared" si="133"/>
        <v>4.6172925112011945E-2</v>
      </c>
      <c r="BD179" s="179">
        <f t="shared" si="133"/>
        <v>5.042869325307249E-2</v>
      </c>
      <c r="BE179" s="179">
        <f t="shared" si="133"/>
        <v>5.8495611863720237E-2</v>
      </c>
      <c r="BF179" s="179">
        <f t="shared" si="133"/>
        <v>4.6045395535826456E-2</v>
      </c>
      <c r="BG179" s="179">
        <f t="shared" si="133"/>
        <v>3.4916224324948071E-2</v>
      </c>
      <c r="BH179" s="179">
        <f t="shared" si="133"/>
        <v>3.9188151796060257E-2</v>
      </c>
    </row>
    <row r="180" spans="2:68" s="108" customFormat="1" x14ac:dyDescent="0.25">
      <c r="B180" s="107"/>
      <c r="E180" s="109" t="s">
        <v>45</v>
      </c>
      <c r="F180" s="110" t="s">
        <v>53</v>
      </c>
      <c r="G180" s="111" t="s">
        <v>55</v>
      </c>
      <c r="H180" s="70">
        <v>6880</v>
      </c>
      <c r="I180" s="70">
        <v>7646</v>
      </c>
      <c r="J180" s="70">
        <v>7473</v>
      </c>
      <c r="K180" s="70">
        <v>8696</v>
      </c>
      <c r="L180" s="70">
        <v>9456</v>
      </c>
      <c r="M180" s="70">
        <v>11580</v>
      </c>
      <c r="N180" s="70">
        <v>12423</v>
      </c>
      <c r="O180" s="112">
        <v>12245</v>
      </c>
      <c r="P180" s="112">
        <v>12015</v>
      </c>
      <c r="R180" s="111" t="s">
        <v>55</v>
      </c>
      <c r="S180" s="81">
        <v>8</v>
      </c>
      <c r="T180" s="81">
        <v>9.5</v>
      </c>
      <c r="U180" s="81">
        <v>9.6</v>
      </c>
      <c r="V180" s="81">
        <v>8.1</v>
      </c>
      <c r="W180" s="81">
        <v>8.6</v>
      </c>
      <c r="X180" s="81">
        <v>7.9</v>
      </c>
      <c r="Y180" s="81">
        <v>6.9</v>
      </c>
      <c r="Z180" s="81">
        <v>7.1</v>
      </c>
      <c r="AA180" s="81">
        <v>7.3</v>
      </c>
      <c r="AC180" s="111" t="s">
        <v>55</v>
      </c>
      <c r="AD180" s="70">
        <f t="shared" si="135"/>
        <v>1100.8</v>
      </c>
      <c r="AE180" s="70">
        <f t="shared" si="131"/>
        <v>1452.74</v>
      </c>
      <c r="AF180" s="70">
        <f t="shared" si="131"/>
        <v>1434.816</v>
      </c>
      <c r="AG180" s="70">
        <f t="shared" si="131"/>
        <v>1408.7519999999997</v>
      </c>
      <c r="AH180" s="70">
        <f t="shared" si="131"/>
        <v>1626.4319999999998</v>
      </c>
      <c r="AI180" s="70">
        <f t="shared" si="131"/>
        <v>1829.64</v>
      </c>
      <c r="AJ180" s="70">
        <f t="shared" si="131"/>
        <v>1714.3740000000003</v>
      </c>
      <c r="AK180" s="70">
        <f t="shared" si="131"/>
        <v>1738.79</v>
      </c>
      <c r="AL180" s="70">
        <f t="shared" si="131"/>
        <v>1754.19</v>
      </c>
      <c r="AN180" s="111" t="s">
        <v>55</v>
      </c>
      <c r="AO180" s="113">
        <f t="shared" ref="AO180:AW180" si="156">H180/H178</f>
        <v>0.40224508886810101</v>
      </c>
      <c r="AP180" s="113">
        <f t="shared" si="156"/>
        <v>0.44071704421004093</v>
      </c>
      <c r="AQ180" s="113">
        <f t="shared" si="156"/>
        <v>0.4186789175864194</v>
      </c>
      <c r="AR180" s="113">
        <f t="shared" si="156"/>
        <v>0.463836142521869</v>
      </c>
      <c r="AS180" s="113">
        <f t="shared" si="156"/>
        <v>0.4743416102332581</v>
      </c>
      <c r="AT180" s="113">
        <f t="shared" si="156"/>
        <v>0.52117557045771634</v>
      </c>
      <c r="AU180" s="113">
        <f t="shared" si="156"/>
        <v>0.52024791657942127</v>
      </c>
      <c r="AV180" s="113">
        <f t="shared" si="156"/>
        <v>0.47099776905915841</v>
      </c>
      <c r="AW180" s="113">
        <f t="shared" si="156"/>
        <v>0.43507387022016225</v>
      </c>
      <c r="AY180" s="111" t="s">
        <v>55</v>
      </c>
      <c r="AZ180" s="179">
        <f t="shared" si="133"/>
        <v>6.4359214218896163E-2</v>
      </c>
      <c r="BA180" s="179">
        <f t="shared" si="133"/>
        <v>8.3736238399907778E-2</v>
      </c>
      <c r="BB180" s="179">
        <f t="shared" si="133"/>
        <v>8.0386352176592513E-2</v>
      </c>
      <c r="BC180" s="179">
        <f t="shared" si="133"/>
        <v>7.514145508854278E-2</v>
      </c>
      <c r="BD180" s="179">
        <f t="shared" si="133"/>
        <v>8.1586756960120396E-2</v>
      </c>
      <c r="BE180" s="179">
        <f t="shared" si="133"/>
        <v>8.2345740132319184E-2</v>
      </c>
      <c r="BF180" s="179">
        <f t="shared" si="133"/>
        <v>7.1794212487960141E-2</v>
      </c>
      <c r="BG180" s="179">
        <f t="shared" si="133"/>
        <v>6.6881683206400491E-2</v>
      </c>
      <c r="BH180" s="179">
        <f t="shared" si="133"/>
        <v>6.3520785052143688E-2</v>
      </c>
    </row>
    <row r="181" spans="2:68" s="108" customFormat="1" x14ac:dyDescent="0.25">
      <c r="B181" s="107"/>
      <c r="E181" s="109" t="s">
        <v>45</v>
      </c>
      <c r="F181" s="110" t="s">
        <v>53</v>
      </c>
      <c r="G181" s="111" t="s">
        <v>130</v>
      </c>
      <c r="H181" s="70">
        <v>1479</v>
      </c>
      <c r="I181" s="70">
        <v>1877</v>
      </c>
      <c r="J181" s="70">
        <v>2694</v>
      </c>
      <c r="K181" s="70">
        <v>2171</v>
      </c>
      <c r="L181" s="70">
        <v>1885</v>
      </c>
      <c r="M181" s="70">
        <v>1606</v>
      </c>
      <c r="N181" s="70">
        <v>3112</v>
      </c>
      <c r="O181" s="112">
        <v>3761</v>
      </c>
      <c r="P181" s="112">
        <v>2778</v>
      </c>
      <c r="R181" s="111" t="s">
        <v>130</v>
      </c>
      <c r="S181" s="220">
        <v>24.7</v>
      </c>
      <c r="T181" s="220">
        <v>30.7</v>
      </c>
      <c r="U181" s="220">
        <v>21.4</v>
      </c>
      <c r="V181" s="220">
        <v>19.899999999999999</v>
      </c>
      <c r="W181" s="220">
        <v>32.5</v>
      </c>
      <c r="X181" s="220">
        <v>35.9</v>
      </c>
      <c r="Y181" s="220">
        <v>18.5</v>
      </c>
      <c r="Z181" s="220">
        <v>17.399999999999999</v>
      </c>
      <c r="AA181" s="220">
        <v>20.9</v>
      </c>
      <c r="AC181" s="111" t="s">
        <v>130</v>
      </c>
      <c r="AD181" s="70">
        <f t="shared" si="135"/>
        <v>730.62599999999986</v>
      </c>
      <c r="AE181" s="70">
        <f t="shared" si="131"/>
        <v>1152.4780000000001</v>
      </c>
      <c r="AF181" s="70">
        <f t="shared" si="131"/>
        <v>1153.0319999999999</v>
      </c>
      <c r="AG181" s="70">
        <f t="shared" si="131"/>
        <v>864.05799999999988</v>
      </c>
      <c r="AH181" s="70">
        <f t="shared" si="131"/>
        <v>1225.25</v>
      </c>
      <c r="AI181" s="70">
        <f t="shared" si="131"/>
        <v>1153.1079999999999</v>
      </c>
      <c r="AJ181" s="70">
        <f t="shared" si="131"/>
        <v>1151.44</v>
      </c>
      <c r="AK181" s="70">
        <f t="shared" si="131"/>
        <v>1308.828</v>
      </c>
      <c r="AL181" s="70">
        <f t="shared" si="131"/>
        <v>1161.204</v>
      </c>
      <c r="AN181" s="111" t="s">
        <v>130</v>
      </c>
      <c r="AO181" s="113">
        <f t="shared" ref="AO181:AW181" si="157">H181/H178</f>
        <v>8.6471000935453693E-2</v>
      </c>
      <c r="AP181" s="113">
        <f t="shared" si="157"/>
        <v>0.10819067381405269</v>
      </c>
      <c r="AQ181" s="113">
        <f t="shared" si="157"/>
        <v>0.15093282536836797</v>
      </c>
      <c r="AR181" s="113">
        <f t="shared" si="157"/>
        <v>0.11579901856197994</v>
      </c>
      <c r="AS181" s="113">
        <f t="shared" si="157"/>
        <v>9.4557311261600205E-2</v>
      </c>
      <c r="AT181" s="113">
        <f t="shared" si="157"/>
        <v>7.2280480669697111E-2</v>
      </c>
      <c r="AU181" s="113">
        <f t="shared" si="157"/>
        <v>0.13032371539846727</v>
      </c>
      <c r="AV181" s="113">
        <f t="shared" si="157"/>
        <v>0.14466497422878682</v>
      </c>
      <c r="AW181" s="113">
        <f t="shared" si="157"/>
        <v>0.10059385863267671</v>
      </c>
      <c r="AY181" s="111" t="s">
        <v>130</v>
      </c>
      <c r="AZ181" s="179">
        <f t="shared" si="133"/>
        <v>4.2716674462114128E-2</v>
      </c>
      <c r="BA181" s="179">
        <f t="shared" si="133"/>
        <v>6.6429073721828352E-2</v>
      </c>
      <c r="BB181" s="179">
        <f t="shared" si="133"/>
        <v>6.4599249257661487E-2</v>
      </c>
      <c r="BC181" s="179">
        <f t="shared" si="133"/>
        <v>4.6088009387668015E-2</v>
      </c>
      <c r="BD181" s="179">
        <f t="shared" si="133"/>
        <v>6.1462252320040135E-2</v>
      </c>
      <c r="BE181" s="179">
        <f t="shared" si="133"/>
        <v>5.1897385120842528E-2</v>
      </c>
      <c r="BF181" s="179">
        <f t="shared" si="133"/>
        <v>4.8219774697432889E-2</v>
      </c>
      <c r="BG181" s="179">
        <f t="shared" si="133"/>
        <v>5.034341103161781E-2</v>
      </c>
      <c r="BH181" s="179">
        <f t="shared" si="133"/>
        <v>4.2048232908458862E-2</v>
      </c>
    </row>
    <row r="182" spans="2:68" s="108" customFormat="1" x14ac:dyDescent="0.25">
      <c r="B182" s="107"/>
      <c r="E182" s="109" t="s">
        <v>45</v>
      </c>
      <c r="F182" s="110" t="s">
        <v>53</v>
      </c>
      <c r="G182" s="111" t="s">
        <v>131</v>
      </c>
      <c r="H182" s="112">
        <v>6344</v>
      </c>
      <c r="I182" s="112">
        <v>5644</v>
      </c>
      <c r="J182" s="112">
        <v>5714</v>
      </c>
      <c r="K182" s="112">
        <v>5672</v>
      </c>
      <c r="L182" s="112">
        <v>7080</v>
      </c>
      <c r="M182" s="112">
        <v>6402</v>
      </c>
      <c r="N182" s="112">
        <v>6673</v>
      </c>
      <c r="O182" s="112">
        <v>7910</v>
      </c>
      <c r="P182" s="112">
        <v>9640</v>
      </c>
      <c r="R182" s="111" t="s">
        <v>131</v>
      </c>
      <c r="S182" s="220">
        <v>8.4</v>
      </c>
      <c r="T182" s="220">
        <v>12.1</v>
      </c>
      <c r="U182" s="220">
        <v>12.3</v>
      </c>
      <c r="V182" s="220">
        <v>11.1</v>
      </c>
      <c r="W182" s="220">
        <v>10.199999999999999</v>
      </c>
      <c r="X182" s="220">
        <v>13</v>
      </c>
      <c r="Y182" s="220">
        <v>11.9</v>
      </c>
      <c r="Z182" s="220">
        <v>10</v>
      </c>
      <c r="AA182" s="220">
        <v>9.3000000000000007</v>
      </c>
      <c r="AC182" s="111" t="s">
        <v>131</v>
      </c>
      <c r="AD182" s="112">
        <f t="shared" si="135"/>
        <v>1065.7920000000001</v>
      </c>
      <c r="AE182" s="112">
        <f t="shared" si="131"/>
        <v>1365.848</v>
      </c>
      <c r="AF182" s="112">
        <f t="shared" si="131"/>
        <v>1405.644</v>
      </c>
      <c r="AG182" s="112">
        <f t="shared" si="131"/>
        <v>1259.184</v>
      </c>
      <c r="AH182" s="112">
        <f t="shared" si="131"/>
        <v>1444.32</v>
      </c>
      <c r="AI182" s="112">
        <f t="shared" si="131"/>
        <v>1664.52</v>
      </c>
      <c r="AJ182" s="112">
        <f t="shared" si="131"/>
        <v>1588.174</v>
      </c>
      <c r="AK182" s="112">
        <f t="shared" si="131"/>
        <v>1582</v>
      </c>
      <c r="AL182" s="112">
        <f t="shared" si="131"/>
        <v>1793.04</v>
      </c>
      <c r="AN182" s="111" t="s">
        <v>131</v>
      </c>
      <c r="AO182" s="113">
        <f t="shared" ref="AO182:AW182" si="158">H182/H178</f>
        <v>0.37090739008419082</v>
      </c>
      <c r="AP182" s="113">
        <f t="shared" si="158"/>
        <v>0.32532134416969277</v>
      </c>
      <c r="AQ182" s="113">
        <f t="shared" si="158"/>
        <v>0.32012997927054737</v>
      </c>
      <c r="AR182" s="113">
        <f t="shared" si="158"/>
        <v>0.30253893748666527</v>
      </c>
      <c r="AS182" s="113">
        <f t="shared" si="158"/>
        <v>0.35515425131677952</v>
      </c>
      <c r="AT182" s="113">
        <f t="shared" si="158"/>
        <v>0.28813177910797066</v>
      </c>
      <c r="AU182" s="113">
        <f t="shared" si="158"/>
        <v>0.27945056325641776</v>
      </c>
      <c r="AV182" s="113">
        <f t="shared" si="158"/>
        <v>0.30425417339795369</v>
      </c>
      <c r="AW182" s="113">
        <f t="shared" si="158"/>
        <v>0.34907300115874856</v>
      </c>
      <c r="AY182" s="111" t="s">
        <v>131</v>
      </c>
      <c r="AZ182" s="179">
        <f t="shared" si="133"/>
        <v>6.2312441534144059E-2</v>
      </c>
      <c r="BA182" s="179">
        <f t="shared" si="133"/>
        <v>7.8727765289065652E-2</v>
      </c>
      <c r="BB182" s="179">
        <f t="shared" si="133"/>
        <v>7.8751974900554661E-2</v>
      </c>
      <c r="BC182" s="179">
        <f t="shared" si="133"/>
        <v>6.7163644122039692E-2</v>
      </c>
      <c r="BD182" s="179">
        <f t="shared" si="133"/>
        <v>7.2451467268623018E-2</v>
      </c>
      <c r="BE182" s="179">
        <f t="shared" si="133"/>
        <v>7.4914262568072376E-2</v>
      </c>
      <c r="BF182" s="179">
        <f t="shared" si="133"/>
        <v>6.6509234055027427E-2</v>
      </c>
      <c r="BG182" s="179">
        <f t="shared" si="133"/>
        <v>6.085083467959073E-2</v>
      </c>
      <c r="BH182" s="179">
        <f t="shared" si="133"/>
        <v>6.4927578215527235E-2</v>
      </c>
    </row>
    <row r="183" spans="2:68" s="87" customFormat="1" x14ac:dyDescent="0.25">
      <c r="B183" s="84"/>
      <c r="C183" s="85"/>
      <c r="D183" s="85"/>
      <c r="E183" s="109" t="s">
        <v>46</v>
      </c>
      <c r="F183" s="110" t="s">
        <v>53</v>
      </c>
      <c r="G183" s="195" t="s">
        <v>7</v>
      </c>
      <c r="H183" s="69">
        <v>116327</v>
      </c>
      <c r="I183" s="69">
        <v>119409</v>
      </c>
      <c r="J183" s="69">
        <v>117477</v>
      </c>
      <c r="K183" s="69">
        <v>119371</v>
      </c>
      <c r="L183" s="69">
        <v>121907</v>
      </c>
      <c r="M183" s="69">
        <v>125024</v>
      </c>
      <c r="N183" s="69">
        <v>125593</v>
      </c>
      <c r="O183" s="69">
        <v>125599</v>
      </c>
      <c r="P183" s="69">
        <v>128848</v>
      </c>
      <c r="R183" s="195" t="s">
        <v>7</v>
      </c>
      <c r="S183" s="226">
        <v>0.8</v>
      </c>
      <c r="T183" s="226">
        <v>1</v>
      </c>
      <c r="U183" s="226">
        <v>1</v>
      </c>
      <c r="V183" s="226">
        <v>0.9</v>
      </c>
      <c r="W183" s="226">
        <v>1.1000000000000001</v>
      </c>
      <c r="X183" s="226">
        <v>1.2</v>
      </c>
      <c r="Y183" s="226">
        <v>1.1000000000000001</v>
      </c>
      <c r="Z183" s="226">
        <v>1</v>
      </c>
      <c r="AA183" s="226">
        <v>1</v>
      </c>
      <c r="AC183" s="195" t="s">
        <v>7</v>
      </c>
      <c r="AD183" s="69">
        <f t="shared" si="135"/>
        <v>1861.2320000000002</v>
      </c>
      <c r="AE183" s="69">
        <f t="shared" si="131"/>
        <v>2388.1799999999998</v>
      </c>
      <c r="AF183" s="69">
        <f t="shared" si="131"/>
        <v>2349.54</v>
      </c>
      <c r="AG183" s="69">
        <f t="shared" si="131"/>
        <v>2148.6780000000003</v>
      </c>
      <c r="AH183" s="69">
        <f t="shared" si="131"/>
        <v>2681.9540000000002</v>
      </c>
      <c r="AI183" s="69">
        <f t="shared" si="131"/>
        <v>3000.5759999999996</v>
      </c>
      <c r="AJ183" s="69">
        <f t="shared" si="131"/>
        <v>2763.0460000000003</v>
      </c>
      <c r="AK183" s="69">
        <f t="shared" si="131"/>
        <v>2511.98</v>
      </c>
      <c r="AL183" s="69">
        <f t="shared" si="131"/>
        <v>2576.96</v>
      </c>
      <c r="AN183" s="195" t="s">
        <v>7</v>
      </c>
      <c r="AO183" s="98">
        <f t="shared" ref="AO183:AW183" si="159">H183/H183</f>
        <v>1</v>
      </c>
      <c r="AP183" s="98">
        <f t="shared" si="159"/>
        <v>1</v>
      </c>
      <c r="AQ183" s="98">
        <f t="shared" si="159"/>
        <v>1</v>
      </c>
      <c r="AR183" s="98">
        <f t="shared" si="159"/>
        <v>1</v>
      </c>
      <c r="AS183" s="98">
        <f t="shared" si="159"/>
        <v>1</v>
      </c>
      <c r="AT183" s="98">
        <f t="shared" si="159"/>
        <v>1</v>
      </c>
      <c r="AU183" s="98">
        <f t="shared" si="159"/>
        <v>1</v>
      </c>
      <c r="AV183" s="98">
        <f t="shared" si="159"/>
        <v>1</v>
      </c>
      <c r="AW183" s="98">
        <f t="shared" si="159"/>
        <v>1</v>
      </c>
      <c r="AX183" s="191"/>
      <c r="AY183" s="195" t="s">
        <v>7</v>
      </c>
      <c r="AZ183" s="178">
        <f t="shared" si="133"/>
        <v>1.6E-2</v>
      </c>
      <c r="BA183" s="178">
        <f t="shared" si="133"/>
        <v>0.02</v>
      </c>
      <c r="BB183" s="178">
        <f t="shared" si="133"/>
        <v>0.02</v>
      </c>
      <c r="BC183" s="178">
        <f t="shared" si="133"/>
        <v>1.8000000000000002E-2</v>
      </c>
      <c r="BD183" s="178">
        <f t="shared" si="133"/>
        <v>2.2000000000000002E-2</v>
      </c>
      <c r="BE183" s="178">
        <f t="shared" si="133"/>
        <v>2.4E-2</v>
      </c>
      <c r="BF183" s="178">
        <f t="shared" si="133"/>
        <v>2.2000000000000002E-2</v>
      </c>
      <c r="BG183" s="178">
        <f t="shared" si="133"/>
        <v>0.02</v>
      </c>
      <c r="BH183" s="178">
        <f t="shared" si="133"/>
        <v>0.02</v>
      </c>
      <c r="BI183" s="191"/>
      <c r="BJ183" s="191"/>
      <c r="BK183" s="191"/>
      <c r="BL183" s="191"/>
      <c r="BM183" s="191"/>
      <c r="BN183" s="191"/>
      <c r="BO183" s="191"/>
      <c r="BP183" s="191"/>
    </row>
    <row r="184" spans="2:68" s="108" customFormat="1" x14ac:dyDescent="0.25">
      <c r="B184" s="107"/>
      <c r="E184" s="109" t="s">
        <v>46</v>
      </c>
      <c r="F184" s="110" t="s">
        <v>53</v>
      </c>
      <c r="G184" s="111" t="s">
        <v>54</v>
      </c>
      <c r="H184" s="112">
        <v>32411</v>
      </c>
      <c r="I184" s="112">
        <v>28197</v>
      </c>
      <c r="J184" s="112">
        <v>26031</v>
      </c>
      <c r="K184" s="112">
        <v>25328</v>
      </c>
      <c r="L184" s="112">
        <v>26632</v>
      </c>
      <c r="M184" s="112">
        <v>26791</v>
      </c>
      <c r="N184" s="112">
        <v>24365</v>
      </c>
      <c r="O184" s="112">
        <v>18972</v>
      </c>
      <c r="P184" s="112">
        <v>21914</v>
      </c>
      <c r="R184" s="111" t="s">
        <v>54</v>
      </c>
      <c r="S184" s="220">
        <v>3.9</v>
      </c>
      <c r="T184" s="220">
        <v>5.6</v>
      </c>
      <c r="U184" s="220">
        <v>5.7</v>
      </c>
      <c r="V184" s="220">
        <v>5.0999999999999996</v>
      </c>
      <c r="W184" s="220">
        <v>5.8</v>
      </c>
      <c r="X184" s="220">
        <v>6.6</v>
      </c>
      <c r="Y184" s="220">
        <v>6.2</v>
      </c>
      <c r="Z184" s="220">
        <v>7.1</v>
      </c>
      <c r="AA184" s="220">
        <v>6.3</v>
      </c>
      <c r="AC184" s="111" t="s">
        <v>54</v>
      </c>
      <c r="AD184" s="112">
        <f t="shared" si="135"/>
        <v>2528.058</v>
      </c>
      <c r="AE184" s="112">
        <f t="shared" si="131"/>
        <v>3158.0639999999999</v>
      </c>
      <c r="AF184" s="112">
        <f t="shared" si="131"/>
        <v>2967.5340000000001</v>
      </c>
      <c r="AG184" s="112">
        <f t="shared" si="131"/>
        <v>2583.4559999999997</v>
      </c>
      <c r="AH184" s="112">
        <f t="shared" si="131"/>
        <v>3089.3119999999999</v>
      </c>
      <c r="AI184" s="112">
        <f t="shared" si="131"/>
        <v>3536.4119999999994</v>
      </c>
      <c r="AJ184" s="112">
        <f t="shared" si="131"/>
        <v>3021.26</v>
      </c>
      <c r="AK184" s="112">
        <f t="shared" si="131"/>
        <v>2694.0239999999994</v>
      </c>
      <c r="AL184" s="112">
        <f t="shared" si="131"/>
        <v>2761.1639999999998</v>
      </c>
      <c r="AN184" s="111" t="s">
        <v>54</v>
      </c>
      <c r="AO184" s="113">
        <f t="shared" ref="AO184:AW184" si="160">H184/H183</f>
        <v>0.27861975293783903</v>
      </c>
      <c r="AP184" s="113">
        <f t="shared" si="160"/>
        <v>0.2361379795492802</v>
      </c>
      <c r="AQ184" s="113">
        <f t="shared" si="160"/>
        <v>0.2215837993820067</v>
      </c>
      <c r="AR184" s="113">
        <f t="shared" si="160"/>
        <v>0.21217883740607016</v>
      </c>
      <c r="AS184" s="113">
        <f t="shared" si="160"/>
        <v>0.21846161418130214</v>
      </c>
      <c r="AT184" s="113">
        <f t="shared" si="160"/>
        <v>0.21428685692347069</v>
      </c>
      <c r="AU184" s="113">
        <f t="shared" si="160"/>
        <v>0.19399966558645784</v>
      </c>
      <c r="AV184" s="113">
        <f t="shared" si="160"/>
        <v>0.15105215805858327</v>
      </c>
      <c r="AW184" s="113">
        <f t="shared" si="160"/>
        <v>0.17007636905501056</v>
      </c>
      <c r="AY184" s="111" t="s">
        <v>54</v>
      </c>
      <c r="AZ184" s="179">
        <f t="shared" si="133"/>
        <v>2.1732340729151443E-2</v>
      </c>
      <c r="BA184" s="179">
        <f t="shared" si="133"/>
        <v>2.644745370951938E-2</v>
      </c>
      <c r="BB184" s="179">
        <f t="shared" si="133"/>
        <v>2.5260553129548766E-2</v>
      </c>
      <c r="BC184" s="179">
        <f t="shared" si="133"/>
        <v>2.1642241415419153E-2</v>
      </c>
      <c r="BD184" s="179">
        <f t="shared" si="133"/>
        <v>2.5341547245031047E-2</v>
      </c>
      <c r="BE184" s="179">
        <f t="shared" si="133"/>
        <v>2.8285865113898127E-2</v>
      </c>
      <c r="BF184" s="179">
        <f t="shared" si="133"/>
        <v>2.4055958532720773E-2</v>
      </c>
      <c r="BG184" s="179">
        <f t="shared" si="133"/>
        <v>2.1449406444318822E-2</v>
      </c>
      <c r="BH184" s="179">
        <f t="shared" si="133"/>
        <v>2.142962250093133E-2</v>
      </c>
    </row>
    <row r="185" spans="2:68" s="108" customFormat="1" x14ac:dyDescent="0.25">
      <c r="B185" s="107"/>
      <c r="E185" s="109" t="s">
        <v>46</v>
      </c>
      <c r="F185" s="110" t="s">
        <v>53</v>
      </c>
      <c r="G185" s="111" t="s">
        <v>55</v>
      </c>
      <c r="H185" s="70">
        <v>29773</v>
      </c>
      <c r="I185" s="70">
        <v>33586</v>
      </c>
      <c r="J185" s="70">
        <v>34360</v>
      </c>
      <c r="K185" s="70">
        <v>32653</v>
      </c>
      <c r="L185" s="70">
        <v>35054</v>
      </c>
      <c r="M185" s="70">
        <v>37862</v>
      </c>
      <c r="N185" s="70">
        <v>40792</v>
      </c>
      <c r="O185" s="112">
        <v>38750</v>
      </c>
      <c r="P185" s="112">
        <v>37232</v>
      </c>
      <c r="R185" s="111" t="s">
        <v>55</v>
      </c>
      <c r="S185" s="81">
        <v>4.4000000000000004</v>
      </c>
      <c r="T185" s="81">
        <v>4.9000000000000004</v>
      </c>
      <c r="U185" s="81">
        <v>5</v>
      </c>
      <c r="V185" s="81">
        <v>4.5</v>
      </c>
      <c r="W185" s="81">
        <v>4.7</v>
      </c>
      <c r="X185" s="81">
        <v>5.2</v>
      </c>
      <c r="Y185" s="81">
        <v>4.5</v>
      </c>
      <c r="Z185" s="81">
        <v>4.5999999999999996</v>
      </c>
      <c r="AA185" s="81">
        <v>4.5999999999999996</v>
      </c>
      <c r="AC185" s="111" t="s">
        <v>55</v>
      </c>
      <c r="AD185" s="70">
        <f t="shared" si="135"/>
        <v>2620.0240000000003</v>
      </c>
      <c r="AE185" s="70">
        <f t="shared" si="131"/>
        <v>3291.4280000000003</v>
      </c>
      <c r="AF185" s="70">
        <f t="shared" si="131"/>
        <v>3436</v>
      </c>
      <c r="AG185" s="70">
        <f t="shared" si="131"/>
        <v>2938.77</v>
      </c>
      <c r="AH185" s="70">
        <f t="shared" si="131"/>
        <v>3295.0760000000005</v>
      </c>
      <c r="AI185" s="70">
        <f t="shared" si="131"/>
        <v>3937.6479999999997</v>
      </c>
      <c r="AJ185" s="70">
        <f t="shared" si="131"/>
        <v>3671.28</v>
      </c>
      <c r="AK185" s="70">
        <f t="shared" si="131"/>
        <v>3565</v>
      </c>
      <c r="AL185" s="70">
        <f t="shared" si="131"/>
        <v>3425.3439999999996</v>
      </c>
      <c r="AN185" s="111" t="s">
        <v>55</v>
      </c>
      <c r="AO185" s="113">
        <f t="shared" ref="AO185:AW185" si="161">H185/H183</f>
        <v>0.25594230058369938</v>
      </c>
      <c r="AP185" s="113">
        <f t="shared" si="161"/>
        <v>0.28126858109522734</v>
      </c>
      <c r="AQ185" s="113">
        <f t="shared" si="161"/>
        <v>0.2924827838640755</v>
      </c>
      <c r="AR185" s="113">
        <f t="shared" si="161"/>
        <v>0.27354215010345895</v>
      </c>
      <c r="AS185" s="113">
        <f t="shared" si="161"/>
        <v>0.28754706456561147</v>
      </c>
      <c r="AT185" s="113">
        <f t="shared" si="161"/>
        <v>0.30283785513181471</v>
      </c>
      <c r="AU185" s="113">
        <f t="shared" si="161"/>
        <v>0.32479517170542943</v>
      </c>
      <c r="AV185" s="113">
        <f t="shared" si="161"/>
        <v>0.30852156466213904</v>
      </c>
      <c r="AW185" s="113">
        <f t="shared" si="161"/>
        <v>0.28896063578790515</v>
      </c>
      <c r="AY185" s="111" t="s">
        <v>55</v>
      </c>
      <c r="AZ185" s="179">
        <f t="shared" si="133"/>
        <v>2.2522922451365546E-2</v>
      </c>
      <c r="BA185" s="179">
        <f t="shared" si="133"/>
        <v>2.7564320947332282E-2</v>
      </c>
      <c r="BB185" s="179">
        <f t="shared" si="133"/>
        <v>2.9248278386407551E-2</v>
      </c>
      <c r="BC185" s="179">
        <f t="shared" si="133"/>
        <v>2.4618793509311305E-2</v>
      </c>
      <c r="BD185" s="179">
        <f t="shared" si="133"/>
        <v>2.7029424069167481E-2</v>
      </c>
      <c r="BE185" s="179">
        <f t="shared" si="133"/>
        <v>3.1495136933708728E-2</v>
      </c>
      <c r="BF185" s="179">
        <f t="shared" si="133"/>
        <v>2.9231565453488647E-2</v>
      </c>
      <c r="BG185" s="179">
        <f t="shared" si="133"/>
        <v>2.838398394891679E-2</v>
      </c>
      <c r="BH185" s="179">
        <f t="shared" si="133"/>
        <v>2.6584378492487272E-2</v>
      </c>
    </row>
    <row r="186" spans="2:68" s="108" customFormat="1" x14ac:dyDescent="0.25">
      <c r="B186" s="107"/>
      <c r="E186" s="109" t="s">
        <v>46</v>
      </c>
      <c r="F186" s="110" t="s">
        <v>53</v>
      </c>
      <c r="G186" s="111" t="s">
        <v>130</v>
      </c>
      <c r="H186" s="70">
        <v>14252</v>
      </c>
      <c r="I186" s="70">
        <v>15355</v>
      </c>
      <c r="J186" s="70">
        <v>15613</v>
      </c>
      <c r="K186" s="70">
        <v>14777</v>
      </c>
      <c r="L186" s="70">
        <v>13508</v>
      </c>
      <c r="M186" s="70">
        <v>14473</v>
      </c>
      <c r="N186" s="70">
        <v>15572</v>
      </c>
      <c r="O186" s="112">
        <v>15328</v>
      </c>
      <c r="P186" s="112">
        <v>15971</v>
      </c>
      <c r="R186" s="111" t="s">
        <v>130</v>
      </c>
      <c r="S186" s="220">
        <v>6.3</v>
      </c>
      <c r="T186" s="220">
        <v>7.7</v>
      </c>
      <c r="U186" s="220">
        <v>7.8</v>
      </c>
      <c r="V186" s="220">
        <v>7.3</v>
      </c>
      <c r="W186" s="220">
        <v>8.5</v>
      </c>
      <c r="X186" s="220">
        <v>9.1</v>
      </c>
      <c r="Y186" s="220">
        <v>8.3000000000000007</v>
      </c>
      <c r="Z186" s="220">
        <v>7.8</v>
      </c>
      <c r="AA186" s="220">
        <v>7.6</v>
      </c>
      <c r="AC186" s="111" t="s">
        <v>130</v>
      </c>
      <c r="AD186" s="70">
        <f t="shared" si="135"/>
        <v>1795.7519999999997</v>
      </c>
      <c r="AE186" s="70">
        <f t="shared" si="131"/>
        <v>2364.67</v>
      </c>
      <c r="AF186" s="70">
        <f t="shared" si="131"/>
        <v>2435.6279999999997</v>
      </c>
      <c r="AG186" s="70">
        <f t="shared" si="131"/>
        <v>2157.442</v>
      </c>
      <c r="AH186" s="70">
        <f t="shared" si="131"/>
        <v>2296.36</v>
      </c>
      <c r="AI186" s="70">
        <f t="shared" si="131"/>
        <v>2634.0859999999998</v>
      </c>
      <c r="AJ186" s="70">
        <f t="shared" si="131"/>
        <v>2584.9520000000002</v>
      </c>
      <c r="AK186" s="70">
        <f t="shared" si="131"/>
        <v>2391.1679999999997</v>
      </c>
      <c r="AL186" s="70">
        <f t="shared" si="131"/>
        <v>2427.5919999999996</v>
      </c>
      <c r="AN186" s="111" t="s">
        <v>130</v>
      </c>
      <c r="AO186" s="113">
        <f t="shared" ref="AO186:AW186" si="162">H186/H183</f>
        <v>0.12251669861683014</v>
      </c>
      <c r="AP186" s="113">
        <f t="shared" si="162"/>
        <v>0.12859164719577251</v>
      </c>
      <c r="AQ186" s="113">
        <f t="shared" si="162"/>
        <v>0.13290261072380125</v>
      </c>
      <c r="AR186" s="113">
        <f t="shared" si="162"/>
        <v>0.12379053538966751</v>
      </c>
      <c r="AS186" s="113">
        <f t="shared" si="162"/>
        <v>0.11080577817516632</v>
      </c>
      <c r="AT186" s="113">
        <f t="shared" si="162"/>
        <v>0.11576177373944203</v>
      </c>
      <c r="AU186" s="113">
        <f t="shared" si="162"/>
        <v>0.12398780186793849</v>
      </c>
      <c r="AV186" s="113">
        <f t="shared" si="162"/>
        <v>0.12203918821009721</v>
      </c>
      <c r="AW186" s="113">
        <f t="shared" si="162"/>
        <v>0.12395225381845275</v>
      </c>
      <c r="AY186" s="111" t="s">
        <v>130</v>
      </c>
      <c r="AZ186" s="179">
        <f t="shared" si="133"/>
        <v>1.5437104025720596E-2</v>
      </c>
      <c r="BA186" s="179">
        <f t="shared" si="133"/>
        <v>1.9803113668148967E-2</v>
      </c>
      <c r="BB186" s="179">
        <f t="shared" si="133"/>
        <v>2.0732807272912993E-2</v>
      </c>
      <c r="BC186" s="179">
        <f t="shared" ref="BC186:BH197" si="163">2*(V186*AR186/100)</f>
        <v>1.8073418166891456E-2</v>
      </c>
      <c r="BD186" s="179">
        <f t="shared" si="163"/>
        <v>1.8836982289778273E-2</v>
      </c>
      <c r="BE186" s="179">
        <f t="shared" si="163"/>
        <v>2.1068642820578451E-2</v>
      </c>
      <c r="BF186" s="179">
        <f t="shared" si="163"/>
        <v>2.058197511007779E-2</v>
      </c>
      <c r="BG186" s="179">
        <f t="shared" si="163"/>
        <v>1.9038113360775166E-2</v>
      </c>
      <c r="BH186" s="179">
        <f t="shared" si="163"/>
        <v>1.8840742580404815E-2</v>
      </c>
    </row>
    <row r="187" spans="2:68" s="108" customFormat="1" x14ac:dyDescent="0.25">
      <c r="B187" s="107"/>
      <c r="E187" s="109" t="s">
        <v>46</v>
      </c>
      <c r="F187" s="110" t="s">
        <v>53</v>
      </c>
      <c r="G187" s="111" t="s">
        <v>131</v>
      </c>
      <c r="H187" s="112">
        <v>39766</v>
      </c>
      <c r="I187" s="112">
        <v>41901</v>
      </c>
      <c r="J187" s="112">
        <v>41311</v>
      </c>
      <c r="K187" s="112">
        <v>46428</v>
      </c>
      <c r="L187" s="112">
        <v>46297</v>
      </c>
      <c r="M187" s="112">
        <v>45442</v>
      </c>
      <c r="N187" s="112">
        <v>44181</v>
      </c>
      <c r="O187" s="112">
        <v>52549</v>
      </c>
      <c r="P187" s="112">
        <v>53731</v>
      </c>
      <c r="R187" s="111" t="s">
        <v>131</v>
      </c>
      <c r="S187" s="220">
        <v>3.9</v>
      </c>
      <c r="T187" s="220">
        <v>4.0999999999999996</v>
      </c>
      <c r="U187" s="220">
        <v>4.2</v>
      </c>
      <c r="V187" s="220">
        <v>3.4</v>
      </c>
      <c r="W187" s="220">
        <v>3.9</v>
      </c>
      <c r="X187" s="220">
        <v>4</v>
      </c>
      <c r="Y187" s="220">
        <v>4.0999999999999996</v>
      </c>
      <c r="Z187" s="220">
        <v>3.6</v>
      </c>
      <c r="AA187" s="220">
        <v>3.4</v>
      </c>
      <c r="AC187" s="111" t="s">
        <v>131</v>
      </c>
      <c r="AD187" s="112">
        <f t="shared" si="135"/>
        <v>3101.748</v>
      </c>
      <c r="AE187" s="112">
        <f t="shared" si="131"/>
        <v>3435.8819999999996</v>
      </c>
      <c r="AF187" s="112">
        <f t="shared" si="131"/>
        <v>3470.1240000000003</v>
      </c>
      <c r="AG187" s="112">
        <f t="shared" si="131"/>
        <v>3157.1039999999998</v>
      </c>
      <c r="AH187" s="112">
        <f t="shared" si="131"/>
        <v>3611.1659999999997</v>
      </c>
      <c r="AI187" s="112">
        <f t="shared" si="131"/>
        <v>3635.36</v>
      </c>
      <c r="AJ187" s="112">
        <f t="shared" si="131"/>
        <v>3622.8419999999996</v>
      </c>
      <c r="AK187" s="112">
        <f t="shared" si="131"/>
        <v>3783.5279999999998</v>
      </c>
      <c r="AL187" s="112">
        <f t="shared" si="131"/>
        <v>3653.7080000000001</v>
      </c>
      <c r="AN187" s="111" t="s">
        <v>131</v>
      </c>
      <c r="AO187" s="113">
        <f t="shared" ref="AO187:AW187" si="164">H187/H183</f>
        <v>0.34184669079405466</v>
      </c>
      <c r="AP187" s="113">
        <f t="shared" si="164"/>
        <v>0.3509031982513881</v>
      </c>
      <c r="AQ187" s="113">
        <f t="shared" si="164"/>
        <v>0.35165181269525098</v>
      </c>
      <c r="AR187" s="113">
        <f t="shared" si="164"/>
        <v>0.38893868695076694</v>
      </c>
      <c r="AS187" s="113">
        <f t="shared" si="164"/>
        <v>0.37977310572813699</v>
      </c>
      <c r="AT187" s="113">
        <f t="shared" si="164"/>
        <v>0.36346621448681854</v>
      </c>
      <c r="AU187" s="113">
        <f t="shared" si="164"/>
        <v>0.35177915966654194</v>
      </c>
      <c r="AV187" s="113">
        <f t="shared" si="164"/>
        <v>0.41838708906918048</v>
      </c>
      <c r="AW187" s="113">
        <f t="shared" si="164"/>
        <v>0.41701074133863159</v>
      </c>
      <c r="AY187" s="111" t="s">
        <v>131</v>
      </c>
      <c r="AZ187" s="179">
        <f t="shared" ref="AZ187:BB197" si="165">2*(S187*AO187/100)</f>
        <v>2.6664041881936263E-2</v>
      </c>
      <c r="BA187" s="179">
        <f t="shared" si="165"/>
        <v>2.877406225661382E-2</v>
      </c>
      <c r="BB187" s="179">
        <f t="shared" si="165"/>
        <v>2.9538752266401083E-2</v>
      </c>
      <c r="BC187" s="179">
        <f t="shared" si="163"/>
        <v>2.6447830712652151E-2</v>
      </c>
      <c r="BD187" s="179">
        <f t="shared" si="163"/>
        <v>2.9622302246794682E-2</v>
      </c>
      <c r="BE187" s="179">
        <f t="shared" si="163"/>
        <v>2.9077297158945484E-2</v>
      </c>
      <c r="BF187" s="179">
        <f t="shared" si="163"/>
        <v>2.8845891092656437E-2</v>
      </c>
      <c r="BG187" s="179">
        <f t="shared" si="163"/>
        <v>3.0123870412980994E-2</v>
      </c>
      <c r="BH187" s="179">
        <f t="shared" si="163"/>
        <v>2.8356730411026949E-2</v>
      </c>
    </row>
    <row r="188" spans="2:68" s="191" customFormat="1" x14ac:dyDescent="0.25">
      <c r="B188" s="186"/>
      <c r="C188" s="195"/>
      <c r="D188" s="195"/>
      <c r="E188" s="109" t="s">
        <v>4</v>
      </c>
      <c r="F188" s="110" t="s">
        <v>53</v>
      </c>
      <c r="G188" s="195" t="s">
        <v>7</v>
      </c>
      <c r="H188" s="200">
        <v>56689</v>
      </c>
      <c r="I188" s="200">
        <v>58150</v>
      </c>
      <c r="J188" s="200">
        <v>56851</v>
      </c>
      <c r="K188" s="200">
        <v>57323</v>
      </c>
      <c r="L188" s="200">
        <v>59204</v>
      </c>
      <c r="M188" s="200">
        <v>60988</v>
      </c>
      <c r="N188" s="200">
        <v>60978</v>
      </c>
      <c r="O188" s="200">
        <v>61039</v>
      </c>
      <c r="P188" s="200">
        <v>62961</v>
      </c>
      <c r="R188" s="195" t="s">
        <v>7</v>
      </c>
      <c r="S188" s="226">
        <v>2.4</v>
      </c>
      <c r="T188" s="226">
        <v>1.4</v>
      </c>
      <c r="U188" s="226">
        <v>1.3</v>
      </c>
      <c r="V188" s="226">
        <v>1.3</v>
      </c>
      <c r="W188" s="226">
        <v>1.5</v>
      </c>
      <c r="X188" s="226">
        <v>1.5</v>
      </c>
      <c r="Y188" s="226">
        <v>1.4</v>
      </c>
      <c r="Z188" s="226">
        <v>1.3</v>
      </c>
      <c r="AA188" s="226">
        <v>1.3</v>
      </c>
      <c r="AB188" s="202"/>
      <c r="AC188" s="195" t="s">
        <v>7</v>
      </c>
      <c r="AD188" s="69">
        <f t="shared" si="135"/>
        <v>2721.0720000000001</v>
      </c>
      <c r="AE188" s="69">
        <f t="shared" si="131"/>
        <v>1628.2</v>
      </c>
      <c r="AF188" s="69">
        <f t="shared" si="131"/>
        <v>1478.126</v>
      </c>
      <c r="AG188" s="69">
        <f t="shared" si="131"/>
        <v>1490.3980000000001</v>
      </c>
      <c r="AH188" s="69">
        <f t="shared" si="131"/>
        <v>1776.12</v>
      </c>
      <c r="AI188" s="69">
        <f t="shared" si="131"/>
        <v>1829.64</v>
      </c>
      <c r="AJ188" s="69">
        <f t="shared" si="131"/>
        <v>1707.384</v>
      </c>
      <c r="AK188" s="69">
        <f t="shared" si="131"/>
        <v>1587.0139999999999</v>
      </c>
      <c r="AL188" s="69">
        <f t="shared" si="131"/>
        <v>1636.9860000000001</v>
      </c>
      <c r="AN188" s="195" t="s">
        <v>7</v>
      </c>
      <c r="AO188" s="177">
        <f t="shared" ref="AO188:AW188" si="166">H188/H188</f>
        <v>1</v>
      </c>
      <c r="AP188" s="177">
        <f t="shared" si="166"/>
        <v>1</v>
      </c>
      <c r="AQ188" s="177">
        <f t="shared" si="166"/>
        <v>1</v>
      </c>
      <c r="AR188" s="177">
        <f t="shared" si="166"/>
        <v>1</v>
      </c>
      <c r="AS188" s="177">
        <f t="shared" si="166"/>
        <v>1</v>
      </c>
      <c r="AT188" s="177">
        <f t="shared" si="166"/>
        <v>1</v>
      </c>
      <c r="AU188" s="177">
        <f t="shared" si="166"/>
        <v>1</v>
      </c>
      <c r="AV188" s="177">
        <f t="shared" si="166"/>
        <v>1</v>
      </c>
      <c r="AW188" s="177">
        <f t="shared" si="166"/>
        <v>1</v>
      </c>
      <c r="AY188" s="195" t="s">
        <v>7</v>
      </c>
      <c r="AZ188" s="203">
        <f t="shared" si="165"/>
        <v>4.8000000000000001E-2</v>
      </c>
      <c r="BA188" s="203">
        <f t="shared" si="165"/>
        <v>2.7999999999999997E-2</v>
      </c>
      <c r="BB188" s="203">
        <f t="shared" si="165"/>
        <v>2.6000000000000002E-2</v>
      </c>
      <c r="BC188" s="203">
        <f t="shared" si="163"/>
        <v>2.6000000000000002E-2</v>
      </c>
      <c r="BD188" s="203">
        <f t="shared" si="163"/>
        <v>0.03</v>
      </c>
      <c r="BE188" s="203">
        <f t="shared" si="163"/>
        <v>0.03</v>
      </c>
      <c r="BF188" s="203">
        <f t="shared" si="163"/>
        <v>2.7999999999999997E-2</v>
      </c>
      <c r="BG188" s="203">
        <f t="shared" si="163"/>
        <v>2.6000000000000002E-2</v>
      </c>
      <c r="BH188" s="203">
        <f t="shared" si="163"/>
        <v>2.6000000000000002E-2</v>
      </c>
    </row>
    <row r="189" spans="2:68" s="108" customFormat="1" x14ac:dyDescent="0.25">
      <c r="B189" s="107"/>
      <c r="E189" s="109" t="s">
        <v>4</v>
      </c>
      <c r="F189" s="110" t="s">
        <v>53</v>
      </c>
      <c r="G189" s="111" t="s">
        <v>54</v>
      </c>
      <c r="H189" s="112">
        <v>16778</v>
      </c>
      <c r="I189" s="112">
        <v>15210</v>
      </c>
      <c r="J189" s="112">
        <v>14447</v>
      </c>
      <c r="K189" s="112">
        <v>14322</v>
      </c>
      <c r="L189" s="112">
        <v>14404</v>
      </c>
      <c r="M189" s="112">
        <v>14201</v>
      </c>
      <c r="N189" s="112">
        <v>14720</v>
      </c>
      <c r="O189" s="112">
        <v>10695</v>
      </c>
      <c r="P189" s="112">
        <v>13180</v>
      </c>
      <c r="R189" s="111" t="s">
        <v>54</v>
      </c>
      <c r="S189" s="220">
        <v>5.8</v>
      </c>
      <c r="T189" s="220">
        <v>7.2</v>
      </c>
      <c r="U189" s="220">
        <v>7.6</v>
      </c>
      <c r="V189" s="220">
        <v>6.9</v>
      </c>
      <c r="W189" s="220">
        <v>8</v>
      </c>
      <c r="X189" s="220">
        <v>8.8000000000000007</v>
      </c>
      <c r="Y189" s="220">
        <v>8.1</v>
      </c>
      <c r="Z189" s="220">
        <v>9.8000000000000007</v>
      </c>
      <c r="AA189" s="220">
        <v>7.7</v>
      </c>
      <c r="AC189" s="111" t="s">
        <v>54</v>
      </c>
      <c r="AD189" s="112">
        <f t="shared" si="135"/>
        <v>1946.2479999999998</v>
      </c>
      <c r="AE189" s="112">
        <f t="shared" si="131"/>
        <v>2190.2399999999998</v>
      </c>
      <c r="AF189" s="112">
        <f t="shared" si="131"/>
        <v>2195.944</v>
      </c>
      <c r="AG189" s="112">
        <f t="shared" si="131"/>
        <v>1976.4360000000001</v>
      </c>
      <c r="AH189" s="112">
        <f t="shared" si="131"/>
        <v>2304.64</v>
      </c>
      <c r="AI189" s="112">
        <f t="shared" si="131"/>
        <v>2499.3760000000002</v>
      </c>
      <c r="AJ189" s="112">
        <f t="shared" si="131"/>
        <v>2384.64</v>
      </c>
      <c r="AK189" s="112">
        <f t="shared" si="131"/>
        <v>2096.2200000000003</v>
      </c>
      <c r="AL189" s="112">
        <f t="shared" si="131"/>
        <v>2029.72</v>
      </c>
      <c r="AN189" s="111" t="s">
        <v>54</v>
      </c>
      <c r="AO189" s="113">
        <f t="shared" ref="AO189:AW189" si="167">H189/H188</f>
        <v>0.29596570763287411</v>
      </c>
      <c r="AP189" s="113">
        <f t="shared" si="167"/>
        <v>0.26156491831470335</v>
      </c>
      <c r="AQ189" s="113">
        <f t="shared" si="167"/>
        <v>0.25412042004538177</v>
      </c>
      <c r="AR189" s="113">
        <f t="shared" si="167"/>
        <v>0.2498473562095494</v>
      </c>
      <c r="AS189" s="113">
        <f t="shared" si="167"/>
        <v>0.24329437200189177</v>
      </c>
      <c r="AT189" s="113">
        <f t="shared" si="167"/>
        <v>0.23284908506591462</v>
      </c>
      <c r="AU189" s="113">
        <f t="shared" si="167"/>
        <v>0.24139853717734264</v>
      </c>
      <c r="AV189" s="113">
        <f t="shared" si="167"/>
        <v>0.17521584560690706</v>
      </c>
      <c r="AW189" s="113">
        <f t="shared" si="167"/>
        <v>0.20933593812042375</v>
      </c>
      <c r="AY189" s="111" t="s">
        <v>54</v>
      </c>
      <c r="AZ189" s="204">
        <f t="shared" si="165"/>
        <v>3.4332022085413395E-2</v>
      </c>
      <c r="BA189" s="204">
        <f t="shared" si="165"/>
        <v>3.7665348237317285E-2</v>
      </c>
      <c r="BB189" s="204">
        <f t="shared" si="165"/>
        <v>3.8626303846898025E-2</v>
      </c>
      <c r="BC189" s="204">
        <f t="shared" si="163"/>
        <v>3.4478935156917821E-2</v>
      </c>
      <c r="BD189" s="204">
        <f t="shared" si="163"/>
        <v>3.8927099520302683E-2</v>
      </c>
      <c r="BE189" s="204">
        <f t="shared" si="163"/>
        <v>4.0981438971600975E-2</v>
      </c>
      <c r="BF189" s="204">
        <f t="shared" si="163"/>
        <v>3.9106563022729503E-2</v>
      </c>
      <c r="BG189" s="204">
        <f t="shared" si="163"/>
        <v>3.4342305738953784E-2</v>
      </c>
      <c r="BH189" s="204">
        <f t="shared" si="163"/>
        <v>3.223773447054526E-2</v>
      </c>
    </row>
    <row r="190" spans="2:68" s="108" customFormat="1" x14ac:dyDescent="0.25">
      <c r="B190" s="107"/>
      <c r="E190" s="109" t="s">
        <v>4</v>
      </c>
      <c r="F190" s="110" t="s">
        <v>53</v>
      </c>
      <c r="G190" s="111" t="s">
        <v>55</v>
      </c>
      <c r="H190" s="205">
        <v>16190</v>
      </c>
      <c r="I190" s="205">
        <v>19803</v>
      </c>
      <c r="J190" s="205">
        <v>18166</v>
      </c>
      <c r="K190" s="205">
        <v>17476</v>
      </c>
      <c r="L190" s="205">
        <v>19301</v>
      </c>
      <c r="M190" s="205">
        <v>19925</v>
      </c>
      <c r="N190" s="205">
        <v>20991</v>
      </c>
      <c r="O190" s="112">
        <v>20322</v>
      </c>
      <c r="P190" s="112">
        <v>19602</v>
      </c>
      <c r="R190" s="111" t="s">
        <v>55</v>
      </c>
      <c r="S190" s="81">
        <v>5.8</v>
      </c>
      <c r="T190" s="81">
        <v>6.6</v>
      </c>
      <c r="U190" s="81">
        <v>6.9</v>
      </c>
      <c r="V190" s="81">
        <v>6.6</v>
      </c>
      <c r="W190" s="81">
        <v>6.9</v>
      </c>
      <c r="X190" s="81">
        <v>7.6</v>
      </c>
      <c r="Y190" s="81">
        <v>7</v>
      </c>
      <c r="Z190" s="81">
        <v>6.5</v>
      </c>
      <c r="AA190" s="81">
        <v>6</v>
      </c>
      <c r="AC190" s="111" t="s">
        <v>55</v>
      </c>
      <c r="AD190" s="70">
        <f t="shared" si="135"/>
        <v>1878.04</v>
      </c>
      <c r="AE190" s="70">
        <f t="shared" si="131"/>
        <v>2613.9959999999996</v>
      </c>
      <c r="AF190" s="70">
        <f t="shared" ref="AF190:AL197" si="168">2*(J190*U190/100)</f>
        <v>2506.9080000000004</v>
      </c>
      <c r="AG190" s="70">
        <f t="shared" si="168"/>
        <v>2306.8319999999999</v>
      </c>
      <c r="AH190" s="70">
        <f t="shared" si="168"/>
        <v>2663.538</v>
      </c>
      <c r="AI190" s="70">
        <f t="shared" si="168"/>
        <v>3028.6</v>
      </c>
      <c r="AJ190" s="70">
        <f t="shared" si="168"/>
        <v>2938.74</v>
      </c>
      <c r="AK190" s="70">
        <f t="shared" si="168"/>
        <v>2641.86</v>
      </c>
      <c r="AL190" s="70">
        <f t="shared" si="168"/>
        <v>2352.2399999999998</v>
      </c>
      <c r="AN190" s="111" t="s">
        <v>55</v>
      </c>
      <c r="AO190" s="113">
        <f t="shared" ref="AO190:AW190" si="169">H190/H188</f>
        <v>0.28559332498368289</v>
      </c>
      <c r="AP190" s="113">
        <f t="shared" si="169"/>
        <v>0.34055030094582978</v>
      </c>
      <c r="AQ190" s="113">
        <f t="shared" si="169"/>
        <v>0.31953703540834816</v>
      </c>
      <c r="AR190" s="113">
        <f t="shared" si="169"/>
        <v>0.30486890079025869</v>
      </c>
      <c r="AS190" s="113">
        <f t="shared" si="169"/>
        <v>0.32600837781230996</v>
      </c>
      <c r="AT190" s="113">
        <f t="shared" si="169"/>
        <v>0.32670361382567065</v>
      </c>
      <c r="AU190" s="113">
        <f t="shared" si="169"/>
        <v>0.34423890583489125</v>
      </c>
      <c r="AV190" s="113">
        <f t="shared" si="169"/>
        <v>0.33293468110552271</v>
      </c>
      <c r="AW190" s="113">
        <f t="shared" si="169"/>
        <v>0.31133558869776529</v>
      </c>
      <c r="AY190" s="111" t="s">
        <v>55</v>
      </c>
      <c r="AZ190" s="204">
        <f t="shared" si="165"/>
        <v>3.3128825698107212E-2</v>
      </c>
      <c r="BA190" s="204">
        <f t="shared" si="165"/>
        <v>4.4952639724849523E-2</v>
      </c>
      <c r="BB190" s="204">
        <f t="shared" si="165"/>
        <v>4.4096110886352048E-2</v>
      </c>
      <c r="BC190" s="204">
        <f t="shared" si="163"/>
        <v>4.0242694904314147E-2</v>
      </c>
      <c r="BD190" s="204">
        <f t="shared" si="163"/>
        <v>4.4989156138098778E-2</v>
      </c>
      <c r="BE190" s="204">
        <f t="shared" si="163"/>
        <v>4.9658949301501935E-2</v>
      </c>
      <c r="BF190" s="204">
        <f t="shared" si="163"/>
        <v>4.8193446816884776E-2</v>
      </c>
      <c r="BG190" s="204">
        <f t="shared" si="163"/>
        <v>4.3281508543717956E-2</v>
      </c>
      <c r="BH190" s="204">
        <f t="shared" si="163"/>
        <v>3.7360270643731833E-2</v>
      </c>
    </row>
    <row r="191" spans="2:68" s="108" customFormat="1" x14ac:dyDescent="0.25">
      <c r="B191" s="107"/>
      <c r="E191" s="109" t="s">
        <v>4</v>
      </c>
      <c r="F191" s="110" t="s">
        <v>53</v>
      </c>
      <c r="G191" s="111" t="s">
        <v>130</v>
      </c>
      <c r="H191" s="205">
        <v>7336</v>
      </c>
      <c r="I191" s="205">
        <v>6836</v>
      </c>
      <c r="J191" s="205">
        <v>7189</v>
      </c>
      <c r="K191" s="205">
        <v>7440</v>
      </c>
      <c r="L191" s="205">
        <v>5535</v>
      </c>
      <c r="M191" s="205">
        <v>8248</v>
      </c>
      <c r="N191" s="205">
        <v>7640</v>
      </c>
      <c r="O191" s="112">
        <v>8314</v>
      </c>
      <c r="P191" s="112">
        <v>8190</v>
      </c>
      <c r="R191" s="111" t="s">
        <v>130</v>
      </c>
      <c r="S191" s="220">
        <v>9.1</v>
      </c>
      <c r="T191" s="220">
        <v>12.5</v>
      </c>
      <c r="U191" s="220">
        <v>11.8</v>
      </c>
      <c r="V191" s="220">
        <v>10.7</v>
      </c>
      <c r="W191" s="220">
        <v>14.6</v>
      </c>
      <c r="X191" s="220">
        <v>12.4</v>
      </c>
      <c r="Y191" s="220">
        <v>12.4</v>
      </c>
      <c r="Z191" s="220">
        <v>10.9</v>
      </c>
      <c r="AA191" s="220">
        <v>10.4</v>
      </c>
      <c r="AC191" s="111" t="s">
        <v>130</v>
      </c>
      <c r="AD191" s="70">
        <f t="shared" si="135"/>
        <v>1335.1519999999998</v>
      </c>
      <c r="AE191" s="70">
        <f t="shared" si="135"/>
        <v>1709</v>
      </c>
      <c r="AF191" s="70">
        <f t="shared" si="168"/>
        <v>1696.6040000000003</v>
      </c>
      <c r="AG191" s="70">
        <f t="shared" si="168"/>
        <v>1592.16</v>
      </c>
      <c r="AH191" s="70">
        <f t="shared" si="168"/>
        <v>1616.22</v>
      </c>
      <c r="AI191" s="70">
        <f t="shared" si="168"/>
        <v>2045.5039999999999</v>
      </c>
      <c r="AJ191" s="70">
        <f t="shared" si="168"/>
        <v>1894.72</v>
      </c>
      <c r="AK191" s="70">
        <f t="shared" si="168"/>
        <v>1812.4520000000002</v>
      </c>
      <c r="AL191" s="70">
        <f t="shared" si="168"/>
        <v>1703.52</v>
      </c>
      <c r="AN191" s="111" t="s">
        <v>130</v>
      </c>
      <c r="AO191" s="113">
        <f t="shared" ref="AO191:AW191" si="170">H191/H188</f>
        <v>0.1294078216232426</v>
      </c>
      <c r="AP191" s="113">
        <f t="shared" si="170"/>
        <v>0.11755803955288048</v>
      </c>
      <c r="AQ191" s="113">
        <f t="shared" si="170"/>
        <v>0.1264533605389527</v>
      </c>
      <c r="AR191" s="113">
        <f t="shared" si="170"/>
        <v>0.12979083439457112</v>
      </c>
      <c r="AS191" s="113">
        <f t="shared" si="170"/>
        <v>9.349030470914127E-2</v>
      </c>
      <c r="AT191" s="113">
        <f t="shared" si="170"/>
        <v>0.13523971928904047</v>
      </c>
      <c r="AU191" s="113">
        <f t="shared" si="170"/>
        <v>0.1252910885893273</v>
      </c>
      <c r="AV191" s="113">
        <f t="shared" si="170"/>
        <v>0.13620799816510756</v>
      </c>
      <c r="AW191" s="113">
        <f t="shared" si="170"/>
        <v>0.13008052603992948</v>
      </c>
      <c r="AY191" s="111" t="s">
        <v>130</v>
      </c>
      <c r="AZ191" s="204">
        <f t="shared" si="165"/>
        <v>2.3552223535430152E-2</v>
      </c>
      <c r="BA191" s="204">
        <f t="shared" si="165"/>
        <v>2.938950988822012E-2</v>
      </c>
      <c r="BB191" s="204">
        <f t="shared" si="165"/>
        <v>2.9842993087192838E-2</v>
      </c>
      <c r="BC191" s="204">
        <f t="shared" si="163"/>
        <v>2.7775238560438217E-2</v>
      </c>
      <c r="BD191" s="204">
        <f t="shared" si="163"/>
        <v>2.729916897506925E-2</v>
      </c>
      <c r="BE191" s="204">
        <f t="shared" si="163"/>
        <v>3.3539450383682036E-2</v>
      </c>
      <c r="BF191" s="204">
        <f t="shared" si="163"/>
        <v>3.1072189970153173E-2</v>
      </c>
      <c r="BG191" s="204">
        <f t="shared" si="163"/>
        <v>2.9693343599993448E-2</v>
      </c>
      <c r="BH191" s="204">
        <f t="shared" si="163"/>
        <v>2.7056749416305332E-2</v>
      </c>
    </row>
    <row r="192" spans="2:68" s="108" customFormat="1" x14ac:dyDescent="0.25">
      <c r="B192" s="107"/>
      <c r="E192" s="109" t="s">
        <v>4</v>
      </c>
      <c r="F192" s="110" t="s">
        <v>53</v>
      </c>
      <c r="G192" s="111" t="s">
        <v>131</v>
      </c>
      <c r="H192" s="112">
        <v>16350</v>
      </c>
      <c r="I192" s="112">
        <v>16138</v>
      </c>
      <c r="J192" s="112">
        <v>16959</v>
      </c>
      <c r="K192" s="112">
        <v>17971</v>
      </c>
      <c r="L192" s="112">
        <v>19739</v>
      </c>
      <c r="M192" s="112">
        <v>18595</v>
      </c>
      <c r="N192" s="112">
        <v>17247</v>
      </c>
      <c r="O192" s="112">
        <v>21708</v>
      </c>
      <c r="P192" s="112">
        <v>21990</v>
      </c>
      <c r="R192" s="111" t="s">
        <v>131</v>
      </c>
      <c r="S192" s="220">
        <v>5.8</v>
      </c>
      <c r="T192" s="220">
        <v>7</v>
      </c>
      <c r="U192" s="220">
        <v>7.1</v>
      </c>
      <c r="V192" s="220">
        <v>5.8</v>
      </c>
      <c r="W192" s="220">
        <v>6.4</v>
      </c>
      <c r="X192" s="220">
        <v>7.3</v>
      </c>
      <c r="Y192" s="220">
        <v>6.9</v>
      </c>
      <c r="Z192" s="220">
        <v>6.5</v>
      </c>
      <c r="AA192" s="220">
        <v>5.5</v>
      </c>
      <c r="AC192" s="111" t="s">
        <v>131</v>
      </c>
      <c r="AD192" s="112">
        <f t="shared" si="135"/>
        <v>1896.6</v>
      </c>
      <c r="AE192" s="112">
        <f t="shared" si="135"/>
        <v>2259.3200000000002</v>
      </c>
      <c r="AF192" s="112">
        <f t="shared" si="168"/>
        <v>2408.1779999999999</v>
      </c>
      <c r="AG192" s="112">
        <f t="shared" si="168"/>
        <v>2084.636</v>
      </c>
      <c r="AH192" s="112">
        <f t="shared" si="168"/>
        <v>2526.5920000000001</v>
      </c>
      <c r="AI192" s="112">
        <f t="shared" si="168"/>
        <v>2714.87</v>
      </c>
      <c r="AJ192" s="112">
        <f t="shared" si="168"/>
        <v>2380.0860000000002</v>
      </c>
      <c r="AK192" s="112">
        <f t="shared" si="168"/>
        <v>2822.04</v>
      </c>
      <c r="AL192" s="112">
        <f t="shared" si="168"/>
        <v>2418.9</v>
      </c>
      <c r="AN192" s="111" t="s">
        <v>131</v>
      </c>
      <c r="AO192" s="113">
        <f t="shared" ref="AO192:AW192" si="171">H192/H188</f>
        <v>0.28841574203108189</v>
      </c>
      <c r="AP192" s="113">
        <f t="shared" si="171"/>
        <v>0.27752364574376615</v>
      </c>
      <c r="AQ192" s="113">
        <f t="shared" si="171"/>
        <v>0.29830609839756556</v>
      </c>
      <c r="AR192" s="113">
        <f t="shared" si="171"/>
        <v>0.3135041780786072</v>
      </c>
      <c r="AS192" s="113">
        <f t="shared" si="171"/>
        <v>0.33340652658604147</v>
      </c>
      <c r="AT192" s="113">
        <f t="shared" si="171"/>
        <v>0.30489604512363089</v>
      </c>
      <c r="AU192" s="113">
        <f t="shared" si="171"/>
        <v>0.2828397126832628</v>
      </c>
      <c r="AV192" s="113">
        <f t="shared" si="171"/>
        <v>0.35564147512246269</v>
      </c>
      <c r="AW192" s="113">
        <f t="shared" si="171"/>
        <v>0.34926382998999378</v>
      </c>
      <c r="AY192" s="111" t="s">
        <v>131</v>
      </c>
      <c r="AZ192" s="204">
        <f t="shared" si="165"/>
        <v>3.34562260756055E-2</v>
      </c>
      <c r="BA192" s="204">
        <f t="shared" si="165"/>
        <v>3.8853310404127261E-2</v>
      </c>
      <c r="BB192" s="204">
        <f t="shared" si="165"/>
        <v>4.235946597245431E-2</v>
      </c>
      <c r="BC192" s="204">
        <f t="shared" si="163"/>
        <v>3.6366484657118434E-2</v>
      </c>
      <c r="BD192" s="204">
        <f t="shared" si="163"/>
        <v>4.2676035403013311E-2</v>
      </c>
      <c r="BE192" s="204">
        <f t="shared" si="163"/>
        <v>4.4514822588050104E-2</v>
      </c>
      <c r="BF192" s="204">
        <f t="shared" si="163"/>
        <v>3.9031880350290267E-2</v>
      </c>
      <c r="BG192" s="204">
        <f t="shared" si="163"/>
        <v>4.6233391765920152E-2</v>
      </c>
      <c r="BH192" s="204">
        <f t="shared" si="163"/>
        <v>3.8419021298899313E-2</v>
      </c>
    </row>
    <row r="193" spans="2:68" s="191" customFormat="1" x14ac:dyDescent="0.25">
      <c r="B193" s="186"/>
      <c r="C193" s="195"/>
      <c r="D193" s="195"/>
      <c r="E193" s="109" t="s">
        <v>5</v>
      </c>
      <c r="F193" s="110" t="s">
        <v>53</v>
      </c>
      <c r="G193" s="195" t="s">
        <v>7</v>
      </c>
      <c r="H193" s="200">
        <v>59638</v>
      </c>
      <c r="I193" s="200">
        <v>61259</v>
      </c>
      <c r="J193" s="200">
        <v>60626</v>
      </c>
      <c r="K193" s="200">
        <v>62048</v>
      </c>
      <c r="L193" s="200">
        <v>62703</v>
      </c>
      <c r="M193" s="200">
        <v>64036</v>
      </c>
      <c r="N193" s="200">
        <v>64615</v>
      </c>
      <c r="O193" s="200">
        <v>64560</v>
      </c>
      <c r="P193" s="200">
        <v>65887</v>
      </c>
      <c r="R193" s="195" t="s">
        <v>7</v>
      </c>
      <c r="S193" s="226">
        <v>2.4</v>
      </c>
      <c r="T193" s="226">
        <v>1.3</v>
      </c>
      <c r="U193" s="226">
        <v>1.3</v>
      </c>
      <c r="V193" s="226">
        <v>1.3</v>
      </c>
      <c r="W193" s="226">
        <v>1.4</v>
      </c>
      <c r="X193" s="226">
        <v>1.5</v>
      </c>
      <c r="Y193" s="226">
        <v>1.4</v>
      </c>
      <c r="Z193" s="226">
        <v>1.3</v>
      </c>
      <c r="AA193" s="226">
        <v>1.3</v>
      </c>
      <c r="AC193" s="195" t="s">
        <v>7</v>
      </c>
      <c r="AD193" s="69">
        <f t="shared" si="135"/>
        <v>2862.6239999999998</v>
      </c>
      <c r="AE193" s="69">
        <f t="shared" si="135"/>
        <v>1592.7339999999999</v>
      </c>
      <c r="AF193" s="69">
        <f t="shared" si="168"/>
        <v>1576.2760000000001</v>
      </c>
      <c r="AG193" s="69">
        <f t="shared" si="168"/>
        <v>1613.2480000000003</v>
      </c>
      <c r="AH193" s="69">
        <f t="shared" si="168"/>
        <v>1755.684</v>
      </c>
      <c r="AI193" s="69">
        <f t="shared" si="168"/>
        <v>1921.08</v>
      </c>
      <c r="AJ193" s="69">
        <f t="shared" si="168"/>
        <v>1809.22</v>
      </c>
      <c r="AK193" s="69">
        <f t="shared" si="168"/>
        <v>1678.56</v>
      </c>
      <c r="AL193" s="69">
        <f t="shared" si="168"/>
        <v>1713.0620000000001</v>
      </c>
      <c r="AN193" s="195" t="s">
        <v>7</v>
      </c>
      <c r="AO193" s="177">
        <f t="shared" ref="AO193:AW193" si="172">H193/H193</f>
        <v>1</v>
      </c>
      <c r="AP193" s="177">
        <f t="shared" si="172"/>
        <v>1</v>
      </c>
      <c r="AQ193" s="177">
        <f t="shared" si="172"/>
        <v>1</v>
      </c>
      <c r="AR193" s="177">
        <f t="shared" si="172"/>
        <v>1</v>
      </c>
      <c r="AS193" s="177">
        <f t="shared" si="172"/>
        <v>1</v>
      </c>
      <c r="AT193" s="177">
        <f t="shared" si="172"/>
        <v>1</v>
      </c>
      <c r="AU193" s="177">
        <f t="shared" si="172"/>
        <v>1</v>
      </c>
      <c r="AV193" s="177">
        <f t="shared" si="172"/>
        <v>1</v>
      </c>
      <c r="AW193" s="177">
        <f t="shared" si="172"/>
        <v>1</v>
      </c>
      <c r="AY193" s="195" t="s">
        <v>7</v>
      </c>
      <c r="AZ193" s="203">
        <f t="shared" si="165"/>
        <v>4.8000000000000001E-2</v>
      </c>
      <c r="BA193" s="203">
        <f t="shared" si="165"/>
        <v>2.6000000000000002E-2</v>
      </c>
      <c r="BB193" s="203">
        <f t="shared" si="165"/>
        <v>2.6000000000000002E-2</v>
      </c>
      <c r="BC193" s="203">
        <f t="shared" si="163"/>
        <v>2.6000000000000002E-2</v>
      </c>
      <c r="BD193" s="203">
        <f t="shared" si="163"/>
        <v>2.7999999999999997E-2</v>
      </c>
      <c r="BE193" s="203">
        <f t="shared" si="163"/>
        <v>0.03</v>
      </c>
      <c r="BF193" s="203">
        <f t="shared" si="163"/>
        <v>2.7999999999999997E-2</v>
      </c>
      <c r="BG193" s="203">
        <f t="shared" si="163"/>
        <v>2.6000000000000002E-2</v>
      </c>
      <c r="BH193" s="203">
        <f t="shared" si="163"/>
        <v>2.6000000000000002E-2</v>
      </c>
    </row>
    <row r="194" spans="2:68" s="108" customFormat="1" x14ac:dyDescent="0.25">
      <c r="B194" s="107"/>
      <c r="E194" s="109" t="s">
        <v>5</v>
      </c>
      <c r="F194" s="110" t="s">
        <v>53</v>
      </c>
      <c r="G194" s="111" t="s">
        <v>54</v>
      </c>
      <c r="H194" s="112">
        <v>15633</v>
      </c>
      <c r="I194" s="112">
        <v>12987</v>
      </c>
      <c r="J194" s="112">
        <v>11584</v>
      </c>
      <c r="K194" s="112">
        <v>11006</v>
      </c>
      <c r="L194" s="112">
        <v>12228</v>
      </c>
      <c r="M194" s="112">
        <v>12590</v>
      </c>
      <c r="N194" s="112">
        <v>9645</v>
      </c>
      <c r="O194" s="112">
        <v>8277</v>
      </c>
      <c r="P194" s="112">
        <v>8734</v>
      </c>
      <c r="R194" s="111" t="s">
        <v>54</v>
      </c>
      <c r="S194" s="220">
        <v>6</v>
      </c>
      <c r="T194" s="220">
        <v>8.4</v>
      </c>
      <c r="U194" s="220">
        <v>8.9</v>
      </c>
      <c r="V194" s="220">
        <v>8.3000000000000007</v>
      </c>
      <c r="W194" s="220">
        <v>8.6</v>
      </c>
      <c r="X194" s="220">
        <v>9.5</v>
      </c>
      <c r="Y194" s="220">
        <v>9.8000000000000007</v>
      </c>
      <c r="Z194" s="220">
        <v>10.9</v>
      </c>
      <c r="AA194" s="220">
        <v>10.4</v>
      </c>
      <c r="AC194" s="111" t="s">
        <v>54</v>
      </c>
      <c r="AD194" s="112">
        <f t="shared" si="135"/>
        <v>1875.96</v>
      </c>
      <c r="AE194" s="112">
        <f t="shared" si="135"/>
        <v>2181.8160000000003</v>
      </c>
      <c r="AF194" s="112">
        <f t="shared" si="168"/>
        <v>2061.9520000000002</v>
      </c>
      <c r="AG194" s="112">
        <f t="shared" si="168"/>
        <v>1826.9960000000001</v>
      </c>
      <c r="AH194" s="112">
        <f t="shared" si="168"/>
        <v>2103.2159999999999</v>
      </c>
      <c r="AI194" s="112">
        <f t="shared" si="168"/>
        <v>2392.1</v>
      </c>
      <c r="AJ194" s="112">
        <f t="shared" si="168"/>
        <v>1890.42</v>
      </c>
      <c r="AK194" s="112">
        <f t="shared" si="168"/>
        <v>1804.386</v>
      </c>
      <c r="AL194" s="112">
        <f t="shared" si="168"/>
        <v>1816.672</v>
      </c>
      <c r="AN194" s="111" t="s">
        <v>54</v>
      </c>
      <c r="AO194" s="113">
        <f t="shared" ref="AO194:AW194" si="173">H194/H193</f>
        <v>0.26213152687883562</v>
      </c>
      <c r="AP194" s="113">
        <f t="shared" si="173"/>
        <v>0.21200150182014071</v>
      </c>
      <c r="AQ194" s="113">
        <f t="shared" si="173"/>
        <v>0.19107313693794742</v>
      </c>
      <c r="AR194" s="113">
        <f t="shared" si="173"/>
        <v>0.17737880350696236</v>
      </c>
      <c r="AS194" s="113">
        <f t="shared" si="173"/>
        <v>0.19501459260322473</v>
      </c>
      <c r="AT194" s="113">
        <f t="shared" si="173"/>
        <v>0.19660815791117497</v>
      </c>
      <c r="AU194" s="113">
        <f t="shared" si="173"/>
        <v>0.14926874564729553</v>
      </c>
      <c r="AV194" s="113">
        <f t="shared" si="173"/>
        <v>0.12820631970260224</v>
      </c>
      <c r="AW194" s="113">
        <f t="shared" si="173"/>
        <v>0.13256029262221683</v>
      </c>
      <c r="AY194" s="111" t="s">
        <v>54</v>
      </c>
      <c r="AZ194" s="204">
        <f t="shared" si="165"/>
        <v>3.1455783225460276E-2</v>
      </c>
      <c r="BA194" s="204">
        <f t="shared" si="165"/>
        <v>3.5616252305783642E-2</v>
      </c>
      <c r="BB194" s="204">
        <f t="shared" si="165"/>
        <v>3.4011018374954641E-2</v>
      </c>
      <c r="BC194" s="204">
        <f t="shared" si="163"/>
        <v>2.9444881382155758E-2</v>
      </c>
      <c r="BD194" s="204">
        <f t="shared" si="163"/>
        <v>3.3542509927754656E-2</v>
      </c>
      <c r="BE194" s="204">
        <f t="shared" si="163"/>
        <v>3.7355550003123246E-2</v>
      </c>
      <c r="BF194" s="204">
        <f t="shared" si="163"/>
        <v>2.9256674146869926E-2</v>
      </c>
      <c r="BG194" s="204">
        <f t="shared" si="163"/>
        <v>2.7948977695167288E-2</v>
      </c>
      <c r="BH194" s="204">
        <f t="shared" si="163"/>
        <v>2.7572540865421099E-2</v>
      </c>
    </row>
    <row r="195" spans="2:68" s="108" customFormat="1" x14ac:dyDescent="0.25">
      <c r="B195" s="107"/>
      <c r="E195" s="109" t="s">
        <v>5</v>
      </c>
      <c r="F195" s="110" t="s">
        <v>53</v>
      </c>
      <c r="G195" s="111" t="s">
        <v>55</v>
      </c>
      <c r="H195" s="205">
        <v>13583</v>
      </c>
      <c r="I195" s="205">
        <v>13783</v>
      </c>
      <c r="J195" s="205">
        <v>16194</v>
      </c>
      <c r="K195" s="205">
        <v>15177</v>
      </c>
      <c r="L195" s="205">
        <v>15753</v>
      </c>
      <c r="M195" s="205">
        <v>17937</v>
      </c>
      <c r="N195" s="205">
        <v>19801</v>
      </c>
      <c r="O195" s="112">
        <v>18428</v>
      </c>
      <c r="P195" s="112">
        <v>17630</v>
      </c>
      <c r="R195" s="111" t="s">
        <v>55</v>
      </c>
      <c r="S195" s="81">
        <v>6.5</v>
      </c>
      <c r="T195" s="81">
        <v>8.3000000000000007</v>
      </c>
      <c r="U195" s="81">
        <v>7.6</v>
      </c>
      <c r="V195" s="81">
        <v>7.1</v>
      </c>
      <c r="W195" s="81">
        <v>7.9</v>
      </c>
      <c r="X195" s="81">
        <v>8.1999999999999993</v>
      </c>
      <c r="Y195" s="81">
        <v>7.1</v>
      </c>
      <c r="Z195" s="81">
        <v>7.1</v>
      </c>
      <c r="AA195" s="81">
        <v>6.5</v>
      </c>
      <c r="AC195" s="111" t="s">
        <v>55</v>
      </c>
      <c r="AD195" s="70">
        <f t="shared" si="135"/>
        <v>1765.79</v>
      </c>
      <c r="AE195" s="70">
        <f t="shared" si="135"/>
        <v>2287.9780000000001</v>
      </c>
      <c r="AF195" s="70">
        <f t="shared" si="168"/>
        <v>2461.4879999999998</v>
      </c>
      <c r="AG195" s="70">
        <f t="shared" si="168"/>
        <v>2155.134</v>
      </c>
      <c r="AH195" s="70">
        <f t="shared" si="168"/>
        <v>2488.9740000000002</v>
      </c>
      <c r="AI195" s="70">
        <f t="shared" si="168"/>
        <v>2941.6679999999997</v>
      </c>
      <c r="AJ195" s="70">
        <f t="shared" si="168"/>
        <v>2811.7420000000002</v>
      </c>
      <c r="AK195" s="70">
        <f t="shared" si="168"/>
        <v>2616.7759999999998</v>
      </c>
      <c r="AL195" s="70">
        <f t="shared" si="168"/>
        <v>2291.9</v>
      </c>
      <c r="AN195" s="111" t="s">
        <v>55</v>
      </c>
      <c r="AO195" s="113">
        <f t="shared" ref="AO195:AW195" si="174">H195/H193</f>
        <v>0.22775747006941882</v>
      </c>
      <c r="AP195" s="113">
        <f t="shared" si="174"/>
        <v>0.22499551086370984</v>
      </c>
      <c r="AQ195" s="113">
        <f t="shared" si="174"/>
        <v>0.2671131197835912</v>
      </c>
      <c r="AR195" s="113">
        <f t="shared" si="174"/>
        <v>0.24460095410005156</v>
      </c>
      <c r="AS195" s="113">
        <f t="shared" si="174"/>
        <v>0.25123199846897276</v>
      </c>
      <c r="AT195" s="113">
        <f t="shared" si="174"/>
        <v>0.28010806421387968</v>
      </c>
      <c r="AU195" s="113">
        <f t="shared" si="174"/>
        <v>0.30644587170161725</v>
      </c>
      <c r="AV195" s="113">
        <f t="shared" si="174"/>
        <v>0.28543990086741017</v>
      </c>
      <c r="AW195" s="113">
        <f t="shared" si="174"/>
        <v>0.26757934038581205</v>
      </c>
      <c r="AY195" s="111" t="s">
        <v>55</v>
      </c>
      <c r="AZ195" s="204">
        <f t="shared" si="165"/>
        <v>2.9608471109024447E-2</v>
      </c>
      <c r="BA195" s="204">
        <f t="shared" si="165"/>
        <v>3.7349254803375836E-2</v>
      </c>
      <c r="BB195" s="204">
        <f t="shared" si="165"/>
        <v>4.060119420710586E-2</v>
      </c>
      <c r="BC195" s="204">
        <f t="shared" si="163"/>
        <v>3.473333548220732E-2</v>
      </c>
      <c r="BD195" s="204">
        <f t="shared" si="163"/>
        <v>3.9694655758097698E-2</v>
      </c>
      <c r="BE195" s="204">
        <f t="shared" si="163"/>
        <v>4.5937722531076267E-2</v>
      </c>
      <c r="BF195" s="204">
        <f t="shared" si="163"/>
        <v>4.3515313781629643E-2</v>
      </c>
      <c r="BG195" s="204">
        <f t="shared" si="163"/>
        <v>4.0532465923172244E-2</v>
      </c>
      <c r="BH195" s="204">
        <f t="shared" si="163"/>
        <v>3.4785314250155568E-2</v>
      </c>
    </row>
    <row r="196" spans="2:68" s="108" customFormat="1" x14ac:dyDescent="0.25">
      <c r="B196" s="107"/>
      <c r="E196" s="109" t="s">
        <v>5</v>
      </c>
      <c r="F196" s="110" t="s">
        <v>53</v>
      </c>
      <c r="G196" s="111" t="s">
        <v>130</v>
      </c>
      <c r="H196" s="205">
        <v>6916</v>
      </c>
      <c r="I196" s="205">
        <v>8519</v>
      </c>
      <c r="J196" s="205">
        <v>8424</v>
      </c>
      <c r="K196" s="205">
        <v>7337</v>
      </c>
      <c r="L196" s="205">
        <v>7973</v>
      </c>
      <c r="M196" s="205">
        <v>6225</v>
      </c>
      <c r="N196" s="205">
        <v>7932</v>
      </c>
      <c r="O196" s="112">
        <v>7014</v>
      </c>
      <c r="P196" s="112">
        <v>7781</v>
      </c>
      <c r="R196" s="111" t="s">
        <v>130</v>
      </c>
      <c r="S196" s="220">
        <v>9.8000000000000007</v>
      </c>
      <c r="T196" s="220">
        <v>10.9</v>
      </c>
      <c r="U196" s="220">
        <v>11</v>
      </c>
      <c r="V196" s="220">
        <v>10.7</v>
      </c>
      <c r="W196" s="220">
        <v>12</v>
      </c>
      <c r="X196" s="220">
        <v>14.7</v>
      </c>
      <c r="Y196" s="220">
        <v>12.4</v>
      </c>
      <c r="Z196" s="220">
        <v>11.7</v>
      </c>
      <c r="AA196" s="220">
        <v>11.2</v>
      </c>
      <c r="AC196" s="111" t="s">
        <v>130</v>
      </c>
      <c r="AD196" s="70">
        <f t="shared" si="135"/>
        <v>1355.5360000000001</v>
      </c>
      <c r="AE196" s="70">
        <f t="shared" si="135"/>
        <v>1857.1420000000001</v>
      </c>
      <c r="AF196" s="70">
        <f t="shared" si="168"/>
        <v>1853.28</v>
      </c>
      <c r="AG196" s="70">
        <f t="shared" si="168"/>
        <v>1570.1179999999999</v>
      </c>
      <c r="AH196" s="70">
        <f t="shared" si="168"/>
        <v>1913.52</v>
      </c>
      <c r="AI196" s="70">
        <f t="shared" si="168"/>
        <v>1830.15</v>
      </c>
      <c r="AJ196" s="70">
        <f t="shared" si="168"/>
        <v>1967.136</v>
      </c>
      <c r="AK196" s="70">
        <f t="shared" si="168"/>
        <v>1641.2759999999998</v>
      </c>
      <c r="AL196" s="70">
        <f t="shared" si="168"/>
        <v>1742.944</v>
      </c>
      <c r="AN196" s="111" t="s">
        <v>130</v>
      </c>
      <c r="AO196" s="113">
        <f t="shared" ref="AO196:AW196" si="175">H196/H193</f>
        <v>0.11596633019215936</v>
      </c>
      <c r="AP196" s="113">
        <f t="shared" si="175"/>
        <v>0.13906528020372516</v>
      </c>
      <c r="AQ196" s="113">
        <f t="shared" si="175"/>
        <v>0.13895028535611784</v>
      </c>
      <c r="AR196" s="113">
        <f t="shared" si="175"/>
        <v>0.11824716348633316</v>
      </c>
      <c r="AS196" s="113">
        <f t="shared" si="175"/>
        <v>0.12715500055818701</v>
      </c>
      <c r="AT196" s="113">
        <f t="shared" si="175"/>
        <v>9.7210943844087697E-2</v>
      </c>
      <c r="AU196" s="113">
        <f t="shared" si="175"/>
        <v>0.12275787355877119</v>
      </c>
      <c r="AV196" s="113">
        <f t="shared" si="175"/>
        <v>0.10864312267657993</v>
      </c>
      <c r="AW196" s="113">
        <f t="shared" si="175"/>
        <v>0.11809613429052772</v>
      </c>
      <c r="AY196" s="111" t="s">
        <v>130</v>
      </c>
      <c r="AZ196" s="204">
        <f t="shared" si="165"/>
        <v>2.2729400717663238E-2</v>
      </c>
      <c r="BA196" s="204">
        <f t="shared" si="165"/>
        <v>3.0316231084412087E-2</v>
      </c>
      <c r="BB196" s="204">
        <f t="shared" si="165"/>
        <v>3.0569062778345923E-2</v>
      </c>
      <c r="BC196" s="204">
        <f t="shared" si="163"/>
        <v>2.5304892986075297E-2</v>
      </c>
      <c r="BD196" s="204">
        <f t="shared" si="163"/>
        <v>3.0517200133964882E-2</v>
      </c>
      <c r="BE196" s="204">
        <f t="shared" si="163"/>
        <v>2.8580017490161782E-2</v>
      </c>
      <c r="BF196" s="204">
        <f t="shared" si="163"/>
        <v>3.0443952642575253E-2</v>
      </c>
      <c r="BG196" s="204">
        <f t="shared" si="163"/>
        <v>2.54224907063197E-2</v>
      </c>
      <c r="BH196" s="204">
        <f t="shared" si="163"/>
        <v>2.6453534081078211E-2</v>
      </c>
    </row>
    <row r="197" spans="2:68" s="108" customFormat="1" x14ac:dyDescent="0.25">
      <c r="B197" s="107"/>
      <c r="E197" s="109" t="s">
        <v>5</v>
      </c>
      <c r="F197" s="110" t="s">
        <v>53</v>
      </c>
      <c r="G197" s="111" t="s">
        <v>131</v>
      </c>
      <c r="H197" s="112">
        <v>23416</v>
      </c>
      <c r="I197" s="112">
        <v>25763</v>
      </c>
      <c r="J197" s="112">
        <v>24352</v>
      </c>
      <c r="K197" s="112">
        <v>28457</v>
      </c>
      <c r="L197" s="112">
        <v>26558</v>
      </c>
      <c r="M197" s="112">
        <v>26847</v>
      </c>
      <c r="N197" s="112">
        <v>26934</v>
      </c>
      <c r="O197" s="112">
        <v>30841</v>
      </c>
      <c r="P197" s="112">
        <v>31741</v>
      </c>
      <c r="R197" s="111" t="s">
        <v>131</v>
      </c>
      <c r="S197" s="220">
        <v>4.7</v>
      </c>
      <c r="T197" s="220">
        <v>4.2</v>
      </c>
      <c r="U197" s="220">
        <v>5.2</v>
      </c>
      <c r="V197" s="220">
        <v>4.5999999999999996</v>
      </c>
      <c r="W197" s="220">
        <v>4.7</v>
      </c>
      <c r="X197" s="220">
        <v>5.7</v>
      </c>
      <c r="Y197" s="220">
        <v>4.8</v>
      </c>
      <c r="Z197" s="220">
        <v>5.2</v>
      </c>
      <c r="AA197" s="220">
        <v>4.4000000000000004</v>
      </c>
      <c r="AC197" s="111" t="s">
        <v>131</v>
      </c>
      <c r="AD197" s="112">
        <f t="shared" si="135"/>
        <v>2201.1039999999998</v>
      </c>
      <c r="AE197" s="112">
        <f t="shared" si="135"/>
        <v>2164.0920000000001</v>
      </c>
      <c r="AF197" s="112">
        <f t="shared" si="168"/>
        <v>2532.6080000000002</v>
      </c>
      <c r="AG197" s="112">
        <f t="shared" si="168"/>
        <v>2618.0439999999999</v>
      </c>
      <c r="AH197" s="112">
        <f t="shared" si="168"/>
        <v>2496.4520000000002</v>
      </c>
      <c r="AI197" s="112">
        <f t="shared" si="168"/>
        <v>3060.558</v>
      </c>
      <c r="AJ197" s="112">
        <f t="shared" si="168"/>
        <v>2585.6639999999998</v>
      </c>
      <c r="AK197" s="112">
        <f t="shared" si="168"/>
        <v>3207.4640000000004</v>
      </c>
      <c r="AL197" s="112">
        <f t="shared" si="168"/>
        <v>2793.2080000000005</v>
      </c>
      <c r="AN197" s="111" t="s">
        <v>131</v>
      </c>
      <c r="AO197" s="113">
        <f t="shared" ref="AO197:AW197" si="176">H197/H193</f>
        <v>0.39263556792648985</v>
      </c>
      <c r="AP197" s="113">
        <f t="shared" si="176"/>
        <v>0.42055861179581777</v>
      </c>
      <c r="AQ197" s="113">
        <f t="shared" si="176"/>
        <v>0.40167584864579553</v>
      </c>
      <c r="AR197" s="113">
        <f t="shared" si="176"/>
        <v>0.45862880350696233</v>
      </c>
      <c r="AS197" s="113">
        <f t="shared" si="176"/>
        <v>0.42355230212270545</v>
      </c>
      <c r="AT197" s="113">
        <f t="shared" si="176"/>
        <v>0.41924854769192327</v>
      </c>
      <c r="AU197" s="113">
        <f t="shared" si="176"/>
        <v>0.4168381954654492</v>
      </c>
      <c r="AV197" s="113">
        <f t="shared" si="176"/>
        <v>0.47771065675340768</v>
      </c>
      <c r="AW197" s="113">
        <f t="shared" si="176"/>
        <v>0.48174905520057065</v>
      </c>
      <c r="AY197" s="111" t="s">
        <v>131</v>
      </c>
      <c r="AZ197" s="204">
        <f t="shared" si="165"/>
        <v>3.6907743385090043E-2</v>
      </c>
      <c r="BA197" s="204">
        <f t="shared" si="165"/>
        <v>3.5326923390848697E-2</v>
      </c>
      <c r="BB197" s="204">
        <f t="shared" si="165"/>
        <v>4.177428825916274E-2</v>
      </c>
      <c r="BC197" s="204">
        <f t="shared" si="163"/>
        <v>4.2193849922640532E-2</v>
      </c>
      <c r="BD197" s="204">
        <f t="shared" si="163"/>
        <v>3.9813916399534313E-2</v>
      </c>
      <c r="BE197" s="204">
        <f t="shared" si="163"/>
        <v>4.7794334436879256E-2</v>
      </c>
      <c r="BF197" s="204">
        <f t="shared" si="163"/>
        <v>4.0016466764683123E-2</v>
      </c>
      <c r="BG197" s="204">
        <f t="shared" si="163"/>
        <v>4.9681908302354402E-2</v>
      </c>
      <c r="BH197" s="204">
        <f t="shared" si="163"/>
        <v>4.2393916857650218E-2</v>
      </c>
    </row>
    <row r="198" spans="2:68" x14ac:dyDescent="0.3">
      <c r="H198" s="122" t="s">
        <v>122</v>
      </c>
      <c r="I198" s="122">
        <v>2003</v>
      </c>
      <c r="J198" s="122">
        <v>2005</v>
      </c>
      <c r="K198" s="122" t="s">
        <v>123</v>
      </c>
      <c r="L198" s="122" t="s">
        <v>124</v>
      </c>
      <c r="M198" s="122" t="s">
        <v>125</v>
      </c>
      <c r="N198" s="122" t="s">
        <v>126</v>
      </c>
      <c r="O198" s="122" t="s">
        <v>127</v>
      </c>
      <c r="P198" s="122" t="s">
        <v>128</v>
      </c>
      <c r="R198" s="111"/>
      <c r="S198" s="120" t="s">
        <v>122</v>
      </c>
      <c r="T198" s="121">
        <v>2003</v>
      </c>
      <c r="U198" s="121">
        <v>2005</v>
      </c>
      <c r="V198" s="122" t="s">
        <v>123</v>
      </c>
      <c r="W198" s="122" t="s">
        <v>124</v>
      </c>
      <c r="X198" s="122" t="s">
        <v>125</v>
      </c>
      <c r="Y198" s="122" t="s">
        <v>126</v>
      </c>
      <c r="Z198" s="122" t="s">
        <v>127</v>
      </c>
      <c r="AA198" s="122" t="s">
        <v>128</v>
      </c>
      <c r="AC198" s="197" t="s">
        <v>8</v>
      </c>
      <c r="AD198" s="120" t="s">
        <v>122</v>
      </c>
      <c r="AE198" s="121">
        <v>2003</v>
      </c>
      <c r="AF198" s="121">
        <v>2005</v>
      </c>
      <c r="AG198" s="122" t="s">
        <v>123</v>
      </c>
      <c r="AH198" s="122" t="s">
        <v>124</v>
      </c>
      <c r="AI198" s="122" t="s">
        <v>125</v>
      </c>
      <c r="AJ198" s="122" t="s">
        <v>126</v>
      </c>
      <c r="AK198" s="122" t="s">
        <v>127</v>
      </c>
      <c r="AL198" s="122" t="s">
        <v>128</v>
      </c>
      <c r="AN198" s="197" t="s">
        <v>8</v>
      </c>
      <c r="AO198" s="120" t="s">
        <v>122</v>
      </c>
      <c r="AP198" s="121">
        <v>2003</v>
      </c>
      <c r="AQ198" s="121">
        <v>2005</v>
      </c>
      <c r="AR198" s="122" t="s">
        <v>123</v>
      </c>
      <c r="AS198" s="122" t="s">
        <v>124</v>
      </c>
      <c r="AT198" s="122" t="s">
        <v>125</v>
      </c>
      <c r="AU198" s="122" t="s">
        <v>126</v>
      </c>
      <c r="AV198" s="122" t="s">
        <v>127</v>
      </c>
      <c r="AW198" s="122" t="s">
        <v>128</v>
      </c>
      <c r="AY198" s="197" t="s">
        <v>8</v>
      </c>
      <c r="AZ198" s="120" t="s">
        <v>122</v>
      </c>
      <c r="BA198" s="121">
        <v>2003</v>
      </c>
      <c r="BB198" s="121">
        <v>2005</v>
      </c>
      <c r="BC198" s="122" t="s">
        <v>123</v>
      </c>
      <c r="BD198" s="122" t="s">
        <v>124</v>
      </c>
      <c r="BE198" s="122" t="s">
        <v>125</v>
      </c>
      <c r="BF198" s="122" t="s">
        <v>126</v>
      </c>
      <c r="BG198" s="122" t="s">
        <v>127</v>
      </c>
      <c r="BH198" s="122" t="s">
        <v>128</v>
      </c>
    </row>
    <row r="199" spans="2:68" s="87" customFormat="1" x14ac:dyDescent="0.25">
      <c r="B199" s="84"/>
      <c r="C199" s="85"/>
      <c r="D199" s="85"/>
      <c r="E199" s="109" t="s">
        <v>0</v>
      </c>
      <c r="F199" s="110" t="s">
        <v>61</v>
      </c>
      <c r="G199" s="195" t="s">
        <v>7</v>
      </c>
      <c r="H199" s="69">
        <v>99873</v>
      </c>
      <c r="I199" s="69">
        <v>100553</v>
      </c>
      <c r="J199" s="69">
        <v>97381</v>
      </c>
      <c r="K199" s="69">
        <v>93158</v>
      </c>
      <c r="L199" s="69">
        <v>90050</v>
      </c>
      <c r="M199" s="69">
        <v>85462</v>
      </c>
      <c r="N199" s="69">
        <v>80165</v>
      </c>
      <c r="O199" s="69">
        <v>76913</v>
      </c>
      <c r="P199" s="69">
        <v>70829</v>
      </c>
      <c r="R199" s="195" t="s">
        <v>7</v>
      </c>
      <c r="S199" s="226">
        <v>1.6</v>
      </c>
      <c r="T199" s="226">
        <v>1.9</v>
      </c>
      <c r="U199" s="226">
        <v>1.8</v>
      </c>
      <c r="V199" s="226">
        <v>1.7</v>
      </c>
      <c r="W199" s="226">
        <v>1.9</v>
      </c>
      <c r="X199" s="226">
        <v>2.1</v>
      </c>
      <c r="Y199" s="226">
        <v>2</v>
      </c>
      <c r="Z199" s="226">
        <v>2.1</v>
      </c>
      <c r="AA199" s="226">
        <v>2.1</v>
      </c>
      <c r="AC199" s="195" t="s">
        <v>7</v>
      </c>
      <c r="AD199" s="69">
        <f>2*(H199*S199/100)</f>
        <v>3195.9360000000001</v>
      </c>
      <c r="AE199" s="69">
        <f t="shared" ref="AE199:AL231" si="177">2*(I199*T199/100)</f>
        <v>3821.0139999999997</v>
      </c>
      <c r="AF199" s="69">
        <f t="shared" si="177"/>
        <v>3505.7160000000003</v>
      </c>
      <c r="AG199" s="69">
        <f t="shared" si="177"/>
        <v>3167.3720000000003</v>
      </c>
      <c r="AH199" s="69">
        <f t="shared" si="177"/>
        <v>3421.9</v>
      </c>
      <c r="AI199" s="69">
        <f t="shared" si="177"/>
        <v>3589.4040000000005</v>
      </c>
      <c r="AJ199" s="69">
        <f t="shared" si="177"/>
        <v>3206.6</v>
      </c>
      <c r="AK199" s="69">
        <f>2*(O199*Z199/100)</f>
        <v>3230.3460000000005</v>
      </c>
      <c r="AL199" s="69">
        <f>2*(P199*AA199/100)</f>
        <v>2974.8179999999998</v>
      </c>
      <c r="AN199" s="195" t="s">
        <v>7</v>
      </c>
      <c r="AO199" s="98">
        <f t="shared" ref="AO199:AW199" si="178">H199/H199</f>
        <v>1</v>
      </c>
      <c r="AP199" s="98">
        <f t="shared" si="178"/>
        <v>1</v>
      </c>
      <c r="AQ199" s="98">
        <f t="shared" si="178"/>
        <v>1</v>
      </c>
      <c r="AR199" s="98">
        <f t="shared" si="178"/>
        <v>1</v>
      </c>
      <c r="AS199" s="98">
        <f t="shared" si="178"/>
        <v>1</v>
      </c>
      <c r="AT199" s="98">
        <f t="shared" si="178"/>
        <v>1</v>
      </c>
      <c r="AU199" s="98">
        <f t="shared" si="178"/>
        <v>1</v>
      </c>
      <c r="AV199" s="98">
        <f t="shared" si="178"/>
        <v>1</v>
      </c>
      <c r="AW199" s="98">
        <f t="shared" si="178"/>
        <v>1</v>
      </c>
      <c r="AX199" s="191"/>
      <c r="AY199" s="195" t="s">
        <v>7</v>
      </c>
      <c r="AZ199" s="178">
        <f t="shared" ref="AZ199:BH227" si="179">2*(S199*AO199/100)</f>
        <v>3.2000000000000001E-2</v>
      </c>
      <c r="BA199" s="178">
        <f t="shared" si="179"/>
        <v>3.7999999999999999E-2</v>
      </c>
      <c r="BB199" s="178">
        <f t="shared" si="179"/>
        <v>3.6000000000000004E-2</v>
      </c>
      <c r="BC199" s="178">
        <f t="shared" si="179"/>
        <v>3.4000000000000002E-2</v>
      </c>
      <c r="BD199" s="178">
        <f t="shared" si="179"/>
        <v>3.7999999999999999E-2</v>
      </c>
      <c r="BE199" s="178">
        <f t="shared" si="179"/>
        <v>4.2000000000000003E-2</v>
      </c>
      <c r="BF199" s="178">
        <f t="shared" si="179"/>
        <v>0.04</v>
      </c>
      <c r="BG199" s="178">
        <f t="shared" si="179"/>
        <v>4.2000000000000003E-2</v>
      </c>
      <c r="BH199" s="178">
        <f t="shared" si="179"/>
        <v>4.2000000000000003E-2</v>
      </c>
      <c r="BI199" s="191"/>
      <c r="BJ199" s="191"/>
      <c r="BK199" s="191"/>
      <c r="BL199" s="191"/>
      <c r="BM199" s="191"/>
      <c r="BN199" s="191"/>
      <c r="BO199" s="191"/>
      <c r="BP199" s="191"/>
    </row>
    <row r="200" spans="2:68" s="108" customFormat="1" x14ac:dyDescent="0.25">
      <c r="B200" s="107"/>
      <c r="E200" s="109" t="s">
        <v>0</v>
      </c>
      <c r="F200" s="110" t="s">
        <v>61</v>
      </c>
      <c r="G200" s="111" t="s">
        <v>54</v>
      </c>
      <c r="H200" s="112">
        <v>18938</v>
      </c>
      <c r="I200" s="112">
        <v>13648</v>
      </c>
      <c r="J200" s="112">
        <v>9325</v>
      </c>
      <c r="K200" s="112">
        <v>9029</v>
      </c>
      <c r="L200" s="112">
        <v>8231</v>
      </c>
      <c r="M200" s="112">
        <v>11165</v>
      </c>
      <c r="N200" s="112">
        <v>8797</v>
      </c>
      <c r="O200" s="112">
        <v>5974</v>
      </c>
      <c r="P200" s="112" t="s">
        <v>129</v>
      </c>
      <c r="R200" s="111" t="s">
        <v>54</v>
      </c>
      <c r="S200" s="220">
        <v>10.7</v>
      </c>
      <c r="T200" s="220">
        <v>15.3</v>
      </c>
      <c r="U200" s="220">
        <v>17.100000000000001</v>
      </c>
      <c r="V200" s="220">
        <v>16.600000000000001</v>
      </c>
      <c r="W200" s="220">
        <v>20.399999999999999</v>
      </c>
      <c r="X200" s="220">
        <v>18.100000000000001</v>
      </c>
      <c r="Y200" s="220">
        <v>19.2</v>
      </c>
      <c r="Z200" s="220">
        <v>25.1</v>
      </c>
      <c r="AA200" s="220" t="s">
        <v>57</v>
      </c>
      <c r="AC200" s="111" t="s">
        <v>54</v>
      </c>
      <c r="AD200" s="112">
        <f>2*(H200*S200/100)</f>
        <v>4052.7319999999995</v>
      </c>
      <c r="AE200" s="112">
        <f t="shared" si="177"/>
        <v>4176.2880000000005</v>
      </c>
      <c r="AF200" s="112">
        <f t="shared" si="177"/>
        <v>3189.15</v>
      </c>
      <c r="AG200" s="112">
        <f t="shared" si="177"/>
        <v>2997.6280000000006</v>
      </c>
      <c r="AH200" s="112">
        <f t="shared" si="177"/>
        <v>3358.248</v>
      </c>
      <c r="AI200" s="112">
        <f t="shared" si="177"/>
        <v>4041.7300000000005</v>
      </c>
      <c r="AJ200" s="112">
        <f t="shared" si="177"/>
        <v>3378.0479999999998</v>
      </c>
      <c r="AK200" s="112">
        <f t="shared" si="177"/>
        <v>2998.9479999999999</v>
      </c>
      <c r="AL200" s="112" t="e">
        <f t="shared" si="177"/>
        <v>#VALUE!</v>
      </c>
      <c r="AN200" s="111" t="s">
        <v>54</v>
      </c>
      <c r="AO200" s="113">
        <f t="shared" ref="AO200:AW200" si="180">H200/H199</f>
        <v>0.18962081843941805</v>
      </c>
      <c r="AP200" s="113">
        <f t="shared" si="180"/>
        <v>0.13572941632770777</v>
      </c>
      <c r="AQ200" s="113">
        <f t="shared" si="180"/>
        <v>9.575789938489028E-2</v>
      </c>
      <c r="AR200" s="113">
        <f t="shared" si="180"/>
        <v>9.6921359410893318E-2</v>
      </c>
      <c r="AS200" s="113">
        <f t="shared" si="180"/>
        <v>9.1404775124930587E-2</v>
      </c>
      <c r="AT200" s="113">
        <f t="shared" si="180"/>
        <v>0.13064285881444385</v>
      </c>
      <c r="AU200" s="113">
        <f t="shared" si="180"/>
        <v>0.1097361691511258</v>
      </c>
      <c r="AV200" s="113">
        <f t="shared" si="180"/>
        <v>7.7672175054932194E-2</v>
      </c>
      <c r="AW200" s="113" t="e">
        <f t="shared" si="180"/>
        <v>#VALUE!</v>
      </c>
      <c r="AY200" s="111" t="s">
        <v>54</v>
      </c>
      <c r="AZ200" s="179">
        <f t="shared" si="179"/>
        <v>4.0578855146035459E-2</v>
      </c>
      <c r="BA200" s="179">
        <f t="shared" si="179"/>
        <v>4.1533201396278578E-2</v>
      </c>
      <c r="BB200" s="179">
        <f t="shared" si="179"/>
        <v>3.274920158963248E-2</v>
      </c>
      <c r="BC200" s="179">
        <f t="shared" si="179"/>
        <v>3.2177891324416584E-2</v>
      </c>
      <c r="BD200" s="179">
        <f t="shared" si="179"/>
        <v>3.7293148250971672E-2</v>
      </c>
      <c r="BE200" s="179">
        <f t="shared" si="179"/>
        <v>4.7292714890828674E-2</v>
      </c>
      <c r="BF200" s="179">
        <f t="shared" si="179"/>
        <v>4.2138688954032305E-2</v>
      </c>
      <c r="BG200" s="179">
        <f t="shared" si="179"/>
        <v>3.8991431877575963E-2</v>
      </c>
      <c r="BH200" s="179" t="e">
        <f t="shared" si="179"/>
        <v>#VALUE!</v>
      </c>
    </row>
    <row r="201" spans="2:68" s="108" customFormat="1" x14ac:dyDescent="0.25">
      <c r="B201" s="107"/>
      <c r="E201" s="109" t="s">
        <v>0</v>
      </c>
      <c r="F201" s="110" t="s">
        <v>61</v>
      </c>
      <c r="G201" s="111" t="s">
        <v>55</v>
      </c>
      <c r="H201" s="70" t="s">
        <v>129</v>
      </c>
      <c r="I201" s="70" t="s">
        <v>129</v>
      </c>
      <c r="J201" s="112" t="s">
        <v>129</v>
      </c>
      <c r="K201" s="112" t="s">
        <v>129</v>
      </c>
      <c r="L201" s="112" t="s">
        <v>129</v>
      </c>
      <c r="M201" s="112" t="s">
        <v>129</v>
      </c>
      <c r="N201" s="112" t="s">
        <v>129</v>
      </c>
      <c r="O201" s="112" t="s">
        <v>129</v>
      </c>
      <c r="P201" s="112" t="s">
        <v>129</v>
      </c>
      <c r="R201" s="111" t="s">
        <v>55</v>
      </c>
      <c r="S201" s="81" t="s">
        <v>57</v>
      </c>
      <c r="T201" s="81" t="s">
        <v>57</v>
      </c>
      <c r="U201" s="81" t="s">
        <v>57</v>
      </c>
      <c r="V201" s="81" t="s">
        <v>57</v>
      </c>
      <c r="W201" s="81" t="s">
        <v>57</v>
      </c>
      <c r="X201" s="81" t="s">
        <v>57</v>
      </c>
      <c r="Y201" s="81" t="s">
        <v>57</v>
      </c>
      <c r="Z201" s="81" t="s">
        <v>57</v>
      </c>
      <c r="AA201" s="81" t="s">
        <v>57</v>
      </c>
      <c r="AC201" s="111" t="s">
        <v>55</v>
      </c>
      <c r="AD201" s="70" t="e">
        <f t="shared" ref="AD201:AE238" si="181">2*(H201*S201/100)</f>
        <v>#VALUE!</v>
      </c>
      <c r="AE201" s="70" t="e">
        <f t="shared" si="177"/>
        <v>#VALUE!</v>
      </c>
      <c r="AF201" s="70" t="e">
        <f t="shared" si="177"/>
        <v>#VALUE!</v>
      </c>
      <c r="AG201" s="70" t="e">
        <f t="shared" si="177"/>
        <v>#VALUE!</v>
      </c>
      <c r="AH201" s="70" t="e">
        <f t="shared" si="177"/>
        <v>#VALUE!</v>
      </c>
      <c r="AI201" s="70" t="e">
        <f t="shared" si="177"/>
        <v>#VALUE!</v>
      </c>
      <c r="AJ201" s="70" t="e">
        <f t="shared" si="177"/>
        <v>#VALUE!</v>
      </c>
      <c r="AK201" s="70" t="e">
        <f t="shared" si="177"/>
        <v>#VALUE!</v>
      </c>
      <c r="AL201" s="70" t="e">
        <f t="shared" si="177"/>
        <v>#VALUE!</v>
      </c>
      <c r="AN201" s="111" t="s">
        <v>55</v>
      </c>
      <c r="AO201" s="113" t="e">
        <f t="shared" ref="AO201:AW201" si="182">H201/H199</f>
        <v>#VALUE!</v>
      </c>
      <c r="AP201" s="113" t="e">
        <f t="shared" si="182"/>
        <v>#VALUE!</v>
      </c>
      <c r="AQ201" s="113" t="e">
        <f t="shared" si="182"/>
        <v>#VALUE!</v>
      </c>
      <c r="AR201" s="113" t="e">
        <f t="shared" si="182"/>
        <v>#VALUE!</v>
      </c>
      <c r="AS201" s="113" t="e">
        <f t="shared" si="182"/>
        <v>#VALUE!</v>
      </c>
      <c r="AT201" s="113" t="e">
        <f t="shared" si="182"/>
        <v>#VALUE!</v>
      </c>
      <c r="AU201" s="113" t="e">
        <f t="shared" si="182"/>
        <v>#VALUE!</v>
      </c>
      <c r="AV201" s="113" t="e">
        <f t="shared" si="182"/>
        <v>#VALUE!</v>
      </c>
      <c r="AW201" s="113" t="e">
        <f t="shared" si="182"/>
        <v>#VALUE!</v>
      </c>
      <c r="AY201" s="111" t="s">
        <v>55</v>
      </c>
      <c r="AZ201" s="179" t="e">
        <f t="shared" si="179"/>
        <v>#VALUE!</v>
      </c>
      <c r="BA201" s="179" t="e">
        <f t="shared" si="179"/>
        <v>#VALUE!</v>
      </c>
      <c r="BB201" s="179" t="e">
        <f t="shared" si="179"/>
        <v>#VALUE!</v>
      </c>
      <c r="BC201" s="179" t="e">
        <f t="shared" si="179"/>
        <v>#VALUE!</v>
      </c>
      <c r="BD201" s="179" t="e">
        <f t="shared" si="179"/>
        <v>#VALUE!</v>
      </c>
      <c r="BE201" s="179" t="e">
        <f t="shared" si="179"/>
        <v>#VALUE!</v>
      </c>
      <c r="BF201" s="179" t="e">
        <f t="shared" si="179"/>
        <v>#VALUE!</v>
      </c>
      <c r="BG201" s="179" t="e">
        <f t="shared" si="179"/>
        <v>#VALUE!</v>
      </c>
      <c r="BH201" s="179" t="e">
        <f t="shared" si="179"/>
        <v>#VALUE!</v>
      </c>
    </row>
    <row r="202" spans="2:68" s="108" customFormat="1" x14ac:dyDescent="0.25">
      <c r="B202" s="107"/>
      <c r="E202" s="109" t="s">
        <v>0</v>
      </c>
      <c r="F202" s="110" t="s">
        <v>61</v>
      </c>
      <c r="G202" s="111" t="s">
        <v>130</v>
      </c>
      <c r="H202" s="70">
        <v>11488</v>
      </c>
      <c r="I202" s="70">
        <v>16391</v>
      </c>
      <c r="J202" s="70">
        <v>11576</v>
      </c>
      <c r="K202" s="70">
        <v>6837</v>
      </c>
      <c r="L202" s="70">
        <v>7434</v>
      </c>
      <c r="M202" s="70">
        <v>5778</v>
      </c>
      <c r="N202" s="70">
        <v>4015</v>
      </c>
      <c r="O202" s="112" t="s">
        <v>129</v>
      </c>
      <c r="P202" s="112" t="s">
        <v>129</v>
      </c>
      <c r="R202" s="111" t="s">
        <v>130</v>
      </c>
      <c r="S202" s="220">
        <v>14.1</v>
      </c>
      <c r="T202" s="220">
        <v>13.9</v>
      </c>
      <c r="U202" s="220">
        <v>15.3</v>
      </c>
      <c r="V202" s="220">
        <v>20.8</v>
      </c>
      <c r="W202" s="220">
        <v>21.8</v>
      </c>
      <c r="X202" s="220">
        <v>27.5</v>
      </c>
      <c r="Y202" s="220">
        <v>27.8</v>
      </c>
      <c r="Z202" s="220" t="s">
        <v>57</v>
      </c>
      <c r="AA202" s="220" t="s">
        <v>57</v>
      </c>
      <c r="AC202" s="111" t="s">
        <v>130</v>
      </c>
      <c r="AD202" s="70">
        <f t="shared" si="181"/>
        <v>3239.616</v>
      </c>
      <c r="AE202" s="70">
        <f t="shared" si="177"/>
        <v>4556.6980000000003</v>
      </c>
      <c r="AF202" s="70">
        <f t="shared" si="177"/>
        <v>3542.2560000000003</v>
      </c>
      <c r="AG202" s="70">
        <f t="shared" si="177"/>
        <v>2844.192</v>
      </c>
      <c r="AH202" s="70">
        <f t="shared" si="177"/>
        <v>3241.2240000000002</v>
      </c>
      <c r="AI202" s="70">
        <f t="shared" si="177"/>
        <v>3177.9</v>
      </c>
      <c r="AJ202" s="70">
        <f t="shared" si="177"/>
        <v>2232.34</v>
      </c>
      <c r="AK202" s="70" t="e">
        <f t="shared" si="177"/>
        <v>#VALUE!</v>
      </c>
      <c r="AL202" s="70" t="e">
        <f t="shared" si="177"/>
        <v>#VALUE!</v>
      </c>
      <c r="AN202" s="111" t="s">
        <v>130</v>
      </c>
      <c r="AO202" s="113">
        <f t="shared" ref="AO202:AW202" si="183">H202/H199</f>
        <v>0.11502608312556947</v>
      </c>
      <c r="AP202" s="113">
        <f t="shared" si="183"/>
        <v>0.16300856264855351</v>
      </c>
      <c r="AQ202" s="113">
        <f t="shared" si="183"/>
        <v>0.11887329150450293</v>
      </c>
      <c r="AR202" s="113">
        <f t="shared" si="183"/>
        <v>7.3391442495545203E-2</v>
      </c>
      <c r="AS202" s="113">
        <f t="shared" si="183"/>
        <v>8.2554136590782895E-2</v>
      </c>
      <c r="AT202" s="113">
        <f t="shared" si="183"/>
        <v>6.7608995811003728E-2</v>
      </c>
      <c r="AU202" s="113">
        <f t="shared" si="183"/>
        <v>5.0084201334747086E-2</v>
      </c>
      <c r="AV202" s="113" t="e">
        <f t="shared" si="183"/>
        <v>#VALUE!</v>
      </c>
      <c r="AW202" s="113" t="e">
        <f t="shared" si="183"/>
        <v>#VALUE!</v>
      </c>
      <c r="AY202" s="111" t="s">
        <v>130</v>
      </c>
      <c r="AZ202" s="179">
        <f t="shared" si="179"/>
        <v>3.243735544141059E-2</v>
      </c>
      <c r="BA202" s="179">
        <f t="shared" si="179"/>
        <v>4.5316380416297875E-2</v>
      </c>
      <c r="BB202" s="179">
        <f t="shared" si="179"/>
        <v>3.6375227200377898E-2</v>
      </c>
      <c r="BC202" s="179">
        <f t="shared" si="179"/>
        <v>3.0530840078146805E-2</v>
      </c>
      <c r="BD202" s="179">
        <f t="shared" si="179"/>
        <v>3.5993603553581346E-2</v>
      </c>
      <c r="BE202" s="179">
        <f t="shared" si="179"/>
        <v>3.7184947696052052E-2</v>
      </c>
      <c r="BF202" s="179">
        <f t="shared" si="179"/>
        <v>2.7846815942119379E-2</v>
      </c>
      <c r="BG202" s="179" t="e">
        <f t="shared" si="179"/>
        <v>#VALUE!</v>
      </c>
      <c r="BH202" s="179" t="e">
        <f t="shared" si="179"/>
        <v>#VALUE!</v>
      </c>
    </row>
    <row r="203" spans="2:68" s="108" customFormat="1" x14ac:dyDescent="0.25">
      <c r="B203" s="107"/>
      <c r="E203" s="109" t="s">
        <v>0</v>
      </c>
      <c r="F203" s="110" t="s">
        <v>61</v>
      </c>
      <c r="G203" s="111" t="s">
        <v>131</v>
      </c>
      <c r="H203" s="112">
        <v>66285</v>
      </c>
      <c r="I203" s="112">
        <v>67653</v>
      </c>
      <c r="J203" s="112">
        <v>73418</v>
      </c>
      <c r="K203" s="112">
        <v>75057</v>
      </c>
      <c r="L203" s="112">
        <v>73909</v>
      </c>
      <c r="M203" s="112">
        <v>66574</v>
      </c>
      <c r="N203" s="112">
        <v>66077</v>
      </c>
      <c r="O203" s="112">
        <v>64802</v>
      </c>
      <c r="P203" s="112">
        <v>60299</v>
      </c>
      <c r="R203" s="111" t="s">
        <v>131</v>
      </c>
      <c r="S203" s="220">
        <v>5.8</v>
      </c>
      <c r="T203" s="220">
        <v>5.3</v>
      </c>
      <c r="U203" s="220">
        <v>4.4000000000000004</v>
      </c>
      <c r="V203" s="220">
        <v>3.3</v>
      </c>
      <c r="W203" s="220">
        <v>3.9</v>
      </c>
      <c r="X203" s="220">
        <v>4.3</v>
      </c>
      <c r="Y203" s="220">
        <v>3.7</v>
      </c>
      <c r="Z203" s="220">
        <v>2.2999999999999998</v>
      </c>
      <c r="AA203" s="220">
        <v>2.2999999999999998</v>
      </c>
      <c r="AC203" s="111" t="s">
        <v>131</v>
      </c>
      <c r="AD203" s="112">
        <f t="shared" si="181"/>
        <v>7689.06</v>
      </c>
      <c r="AE203" s="112">
        <f t="shared" si="177"/>
        <v>7171.2179999999989</v>
      </c>
      <c r="AF203" s="112">
        <f t="shared" si="177"/>
        <v>6460.7840000000006</v>
      </c>
      <c r="AG203" s="112">
        <f t="shared" si="177"/>
        <v>4953.7619999999997</v>
      </c>
      <c r="AH203" s="112">
        <f t="shared" si="177"/>
        <v>5764.9019999999991</v>
      </c>
      <c r="AI203" s="112">
        <f t="shared" si="177"/>
        <v>5725.3640000000005</v>
      </c>
      <c r="AJ203" s="112">
        <f t="shared" si="177"/>
        <v>4889.6980000000003</v>
      </c>
      <c r="AK203" s="112">
        <f t="shared" si="177"/>
        <v>2980.8919999999994</v>
      </c>
      <c r="AL203" s="112">
        <f t="shared" si="177"/>
        <v>2773.7539999999995</v>
      </c>
      <c r="AN203" s="111" t="s">
        <v>131</v>
      </c>
      <c r="AO203" s="113">
        <f t="shared" ref="AO203:AW203" si="184">H203/H199</f>
        <v>0.66369288997026221</v>
      </c>
      <c r="AP203" s="113">
        <f t="shared" si="184"/>
        <v>0.67280936421588611</v>
      </c>
      <c r="AQ203" s="113">
        <f t="shared" si="184"/>
        <v>0.75392530370400801</v>
      </c>
      <c r="AR203" s="113">
        <f t="shared" si="184"/>
        <v>0.80569569977887034</v>
      </c>
      <c r="AS203" s="113">
        <f t="shared" si="184"/>
        <v>0.82075513603553585</v>
      </c>
      <c r="AT203" s="113">
        <f t="shared" si="184"/>
        <v>0.77898949240598159</v>
      </c>
      <c r="AU203" s="113">
        <f t="shared" si="184"/>
        <v>0.82426245867897463</v>
      </c>
      <c r="AV203" s="113">
        <f t="shared" si="184"/>
        <v>0.84253637226476663</v>
      </c>
      <c r="AW203" s="113">
        <f t="shared" si="184"/>
        <v>0.8513320814920442</v>
      </c>
      <c r="AY203" s="111" t="s">
        <v>131</v>
      </c>
      <c r="AZ203" s="179">
        <f t="shared" si="179"/>
        <v>7.6988375236550416E-2</v>
      </c>
      <c r="BA203" s="179">
        <f t="shared" si="179"/>
        <v>7.1317792606883923E-2</v>
      </c>
      <c r="BB203" s="179">
        <f t="shared" si="179"/>
        <v>6.6345426725952714E-2</v>
      </c>
      <c r="BC203" s="179">
        <f t="shared" si="179"/>
        <v>5.3175916185405445E-2</v>
      </c>
      <c r="BD203" s="179">
        <f t="shared" si="179"/>
        <v>6.4018900610771798E-2</v>
      </c>
      <c r="BE203" s="179">
        <f t="shared" si="179"/>
        <v>6.6993096346914416E-2</v>
      </c>
      <c r="BF203" s="179">
        <f t="shared" si="179"/>
        <v>6.0995421942244124E-2</v>
      </c>
      <c r="BG203" s="179">
        <f t="shared" si="179"/>
        <v>3.8756673124179263E-2</v>
      </c>
      <c r="BH203" s="179">
        <f t="shared" si="179"/>
        <v>3.9161275748634032E-2</v>
      </c>
    </row>
    <row r="204" spans="2:68" s="87" customFormat="1" x14ac:dyDescent="0.25">
      <c r="B204" s="84"/>
      <c r="C204" s="85"/>
      <c r="D204" s="85"/>
      <c r="E204" s="109" t="s">
        <v>1</v>
      </c>
      <c r="F204" s="110" t="s">
        <v>61</v>
      </c>
      <c r="G204" s="195" t="s">
        <v>7</v>
      </c>
      <c r="H204" s="69">
        <v>121878</v>
      </c>
      <c r="I204" s="69">
        <v>119004</v>
      </c>
      <c r="J204" s="69">
        <v>117266</v>
      </c>
      <c r="K204" s="69">
        <v>116366</v>
      </c>
      <c r="L204" s="69">
        <v>115768</v>
      </c>
      <c r="M204" s="69">
        <v>117146</v>
      </c>
      <c r="N204" s="69">
        <v>117583</v>
      </c>
      <c r="O204" s="69">
        <v>114771</v>
      </c>
      <c r="P204" s="69">
        <v>122167</v>
      </c>
      <c r="R204" s="195" t="s">
        <v>7</v>
      </c>
      <c r="S204" s="226">
        <v>1.6</v>
      </c>
      <c r="T204" s="226">
        <v>1.9</v>
      </c>
      <c r="U204" s="226">
        <v>1.7</v>
      </c>
      <c r="V204" s="226">
        <v>1.7</v>
      </c>
      <c r="W204" s="226">
        <v>1.7</v>
      </c>
      <c r="X204" s="226">
        <v>2</v>
      </c>
      <c r="Y204" s="226">
        <v>1.6</v>
      </c>
      <c r="Z204" s="226">
        <v>1.8</v>
      </c>
      <c r="AA204" s="226">
        <v>1.8</v>
      </c>
      <c r="AC204" s="195" t="s">
        <v>7</v>
      </c>
      <c r="AD204" s="69">
        <f t="shared" si="181"/>
        <v>3900.0960000000005</v>
      </c>
      <c r="AE204" s="69">
        <f t="shared" si="177"/>
        <v>4522.1519999999991</v>
      </c>
      <c r="AF204" s="69">
        <f t="shared" si="177"/>
        <v>3987.0439999999999</v>
      </c>
      <c r="AG204" s="69">
        <f t="shared" si="177"/>
        <v>3956.4439999999995</v>
      </c>
      <c r="AH204" s="69">
        <f t="shared" si="177"/>
        <v>3936.1120000000001</v>
      </c>
      <c r="AI204" s="69">
        <f t="shared" si="177"/>
        <v>4685.84</v>
      </c>
      <c r="AJ204" s="69">
        <f t="shared" si="177"/>
        <v>3762.6560000000004</v>
      </c>
      <c r="AK204" s="69">
        <f t="shared" si="177"/>
        <v>4131.7560000000003</v>
      </c>
      <c r="AL204" s="69">
        <f t="shared" si="177"/>
        <v>4398.0119999999997</v>
      </c>
      <c r="AN204" s="195" t="s">
        <v>7</v>
      </c>
      <c r="AO204" s="98">
        <f t="shared" ref="AO204:AW204" si="185">H204/H204</f>
        <v>1</v>
      </c>
      <c r="AP204" s="98">
        <f t="shared" si="185"/>
        <v>1</v>
      </c>
      <c r="AQ204" s="98">
        <f t="shared" si="185"/>
        <v>1</v>
      </c>
      <c r="AR204" s="98">
        <f t="shared" si="185"/>
        <v>1</v>
      </c>
      <c r="AS204" s="98">
        <f t="shared" si="185"/>
        <v>1</v>
      </c>
      <c r="AT204" s="98">
        <f t="shared" si="185"/>
        <v>1</v>
      </c>
      <c r="AU204" s="98">
        <f t="shared" si="185"/>
        <v>1</v>
      </c>
      <c r="AV204" s="98">
        <f t="shared" si="185"/>
        <v>1</v>
      </c>
      <c r="AW204" s="98">
        <f t="shared" si="185"/>
        <v>1</v>
      </c>
      <c r="AX204" s="191"/>
      <c r="AY204" s="195" t="s">
        <v>7</v>
      </c>
      <c r="AZ204" s="178">
        <f t="shared" si="179"/>
        <v>3.2000000000000001E-2</v>
      </c>
      <c r="BA204" s="178">
        <f t="shared" si="179"/>
        <v>3.7999999999999999E-2</v>
      </c>
      <c r="BB204" s="178">
        <f t="shared" si="179"/>
        <v>3.4000000000000002E-2</v>
      </c>
      <c r="BC204" s="178">
        <f t="shared" si="179"/>
        <v>3.4000000000000002E-2</v>
      </c>
      <c r="BD204" s="178">
        <f t="shared" si="179"/>
        <v>3.4000000000000002E-2</v>
      </c>
      <c r="BE204" s="178">
        <f t="shared" si="179"/>
        <v>0.04</v>
      </c>
      <c r="BF204" s="178">
        <f t="shared" si="179"/>
        <v>3.2000000000000001E-2</v>
      </c>
      <c r="BG204" s="178">
        <f t="shared" si="179"/>
        <v>3.6000000000000004E-2</v>
      </c>
      <c r="BH204" s="178">
        <f t="shared" si="179"/>
        <v>3.6000000000000004E-2</v>
      </c>
      <c r="BI204" s="191"/>
      <c r="BJ204" s="191"/>
      <c r="BK204" s="191"/>
      <c r="BL204" s="191"/>
      <c r="BM204" s="191"/>
      <c r="BN204" s="191"/>
      <c r="BO204" s="191"/>
      <c r="BP204" s="191"/>
    </row>
    <row r="205" spans="2:68" s="108" customFormat="1" x14ac:dyDescent="0.25">
      <c r="B205" s="107"/>
      <c r="E205" s="109" t="s">
        <v>1</v>
      </c>
      <c r="F205" s="110" t="s">
        <v>61</v>
      </c>
      <c r="G205" s="111" t="s">
        <v>54</v>
      </c>
      <c r="H205" s="112">
        <v>40847</v>
      </c>
      <c r="I205" s="112">
        <v>38388</v>
      </c>
      <c r="J205" s="112">
        <v>37128</v>
      </c>
      <c r="K205" s="112">
        <v>38592</v>
      </c>
      <c r="L205" s="112">
        <v>36016</v>
      </c>
      <c r="M205" s="112">
        <v>35136</v>
      </c>
      <c r="N205" s="112">
        <v>31372</v>
      </c>
      <c r="O205" s="112">
        <v>28813</v>
      </c>
      <c r="P205" s="112">
        <v>24649</v>
      </c>
      <c r="R205" s="111" t="s">
        <v>54</v>
      </c>
      <c r="S205" s="220">
        <v>6.5</v>
      </c>
      <c r="T205" s="220">
        <v>8.5</v>
      </c>
      <c r="U205" s="220">
        <v>7.7</v>
      </c>
      <c r="V205" s="220">
        <v>7.1</v>
      </c>
      <c r="W205" s="220">
        <v>8.4</v>
      </c>
      <c r="X205" s="220">
        <v>8.9</v>
      </c>
      <c r="Y205" s="220">
        <v>9</v>
      </c>
      <c r="Z205" s="220">
        <v>10</v>
      </c>
      <c r="AA205" s="220">
        <v>10.3</v>
      </c>
      <c r="AC205" s="111" t="s">
        <v>54</v>
      </c>
      <c r="AD205" s="112">
        <f t="shared" si="181"/>
        <v>5310.11</v>
      </c>
      <c r="AE205" s="112">
        <f t="shared" si="177"/>
        <v>6525.96</v>
      </c>
      <c r="AF205" s="112">
        <f t="shared" si="177"/>
        <v>5717.7120000000004</v>
      </c>
      <c r="AG205" s="112">
        <f t="shared" si="177"/>
        <v>5480.0640000000003</v>
      </c>
      <c r="AH205" s="112">
        <f t="shared" si="177"/>
        <v>6050.6880000000001</v>
      </c>
      <c r="AI205" s="112">
        <f t="shared" si="177"/>
        <v>6254.2080000000005</v>
      </c>
      <c r="AJ205" s="112">
        <f t="shared" si="177"/>
        <v>5646.96</v>
      </c>
      <c r="AK205" s="112">
        <f t="shared" si="177"/>
        <v>5762.6</v>
      </c>
      <c r="AL205" s="112">
        <f t="shared" si="177"/>
        <v>5077.6940000000004</v>
      </c>
      <c r="AN205" s="111" t="s">
        <v>54</v>
      </c>
      <c r="AO205" s="113">
        <f t="shared" ref="AO205:AW205" si="186">H205/H204</f>
        <v>0.33514662203186796</v>
      </c>
      <c r="AP205" s="113">
        <f t="shared" si="186"/>
        <v>0.32257739235655947</v>
      </c>
      <c r="AQ205" s="113">
        <f t="shared" si="186"/>
        <v>0.31661351116265585</v>
      </c>
      <c r="AR205" s="113">
        <f t="shared" si="186"/>
        <v>0.33164326349621021</v>
      </c>
      <c r="AS205" s="113">
        <f t="shared" si="186"/>
        <v>0.31110496855780528</v>
      </c>
      <c r="AT205" s="113">
        <f t="shared" si="186"/>
        <v>0.29993341642053506</v>
      </c>
      <c r="AU205" s="113">
        <f t="shared" si="186"/>
        <v>0.26680727656208808</v>
      </c>
      <c r="AV205" s="113">
        <f t="shared" si="186"/>
        <v>0.25104773854022355</v>
      </c>
      <c r="AW205" s="113">
        <f t="shared" si="186"/>
        <v>0.20176479736753788</v>
      </c>
      <c r="AY205" s="111" t="s">
        <v>54</v>
      </c>
      <c r="AZ205" s="179">
        <f t="shared" si="179"/>
        <v>4.3569060864142833E-2</v>
      </c>
      <c r="BA205" s="179">
        <f t="shared" si="179"/>
        <v>5.4838156700615114E-2</v>
      </c>
      <c r="BB205" s="179">
        <f t="shared" si="179"/>
        <v>4.8758480719049001E-2</v>
      </c>
      <c r="BC205" s="179">
        <f t="shared" si="179"/>
        <v>4.7093343416461847E-2</v>
      </c>
      <c r="BD205" s="179">
        <f t="shared" si="179"/>
        <v>5.2265634717711291E-2</v>
      </c>
      <c r="BE205" s="179">
        <f t="shared" si="179"/>
        <v>5.3388148122855243E-2</v>
      </c>
      <c r="BF205" s="179">
        <f t="shared" si="179"/>
        <v>4.8025309781175848E-2</v>
      </c>
      <c r="BG205" s="179">
        <f t="shared" si="179"/>
        <v>5.0209547708044706E-2</v>
      </c>
      <c r="BH205" s="179">
        <f t="shared" si="179"/>
        <v>4.1563548257712808E-2</v>
      </c>
    </row>
    <row r="206" spans="2:68" s="108" customFormat="1" x14ac:dyDescent="0.25">
      <c r="B206" s="107"/>
      <c r="E206" s="109" t="s">
        <v>1</v>
      </c>
      <c r="F206" s="110" t="s">
        <v>61</v>
      </c>
      <c r="G206" s="111" t="s">
        <v>55</v>
      </c>
      <c r="H206" s="70">
        <v>22526</v>
      </c>
      <c r="I206" s="70">
        <v>19464</v>
      </c>
      <c r="J206" s="70">
        <v>19796</v>
      </c>
      <c r="K206" s="70">
        <v>18121</v>
      </c>
      <c r="L206" s="70">
        <v>17218</v>
      </c>
      <c r="M206" s="70">
        <v>16404</v>
      </c>
      <c r="N206" s="70">
        <v>16464</v>
      </c>
      <c r="O206" s="112">
        <v>15769</v>
      </c>
      <c r="P206" s="112">
        <v>10612</v>
      </c>
      <c r="R206" s="111" t="s">
        <v>55</v>
      </c>
      <c r="S206" s="81">
        <v>9.9</v>
      </c>
      <c r="T206" s="81">
        <v>12.7</v>
      </c>
      <c r="U206" s="81">
        <v>11.5</v>
      </c>
      <c r="V206" s="81">
        <v>11.4</v>
      </c>
      <c r="W206" s="81">
        <v>13.2</v>
      </c>
      <c r="X206" s="81">
        <v>15</v>
      </c>
      <c r="Y206" s="81">
        <v>13.5</v>
      </c>
      <c r="Z206" s="81">
        <v>14.1</v>
      </c>
      <c r="AA206" s="81">
        <v>17.3</v>
      </c>
      <c r="AC206" s="111" t="s">
        <v>55</v>
      </c>
      <c r="AD206" s="70">
        <f t="shared" si="181"/>
        <v>4460.1480000000001</v>
      </c>
      <c r="AE206" s="70">
        <f t="shared" si="177"/>
        <v>4943.8559999999998</v>
      </c>
      <c r="AF206" s="70">
        <f t="shared" si="177"/>
        <v>4553.08</v>
      </c>
      <c r="AG206" s="70">
        <f t="shared" si="177"/>
        <v>4131.5879999999997</v>
      </c>
      <c r="AH206" s="70">
        <f t="shared" si="177"/>
        <v>4545.5519999999997</v>
      </c>
      <c r="AI206" s="70">
        <f t="shared" si="177"/>
        <v>4921.2</v>
      </c>
      <c r="AJ206" s="70">
        <f t="shared" si="177"/>
        <v>4445.28</v>
      </c>
      <c r="AK206" s="70">
        <f t="shared" si="177"/>
        <v>4446.8580000000002</v>
      </c>
      <c r="AL206" s="70">
        <f t="shared" si="177"/>
        <v>3671.752</v>
      </c>
      <c r="AN206" s="111" t="s">
        <v>55</v>
      </c>
      <c r="AO206" s="113">
        <f t="shared" ref="AO206:AW206" si="187">H206/H204</f>
        <v>0.1848241684307258</v>
      </c>
      <c r="AP206" s="113">
        <f t="shared" si="187"/>
        <v>0.16355752747806795</v>
      </c>
      <c r="AQ206" s="113">
        <f t="shared" si="187"/>
        <v>0.16881278460934968</v>
      </c>
      <c r="AR206" s="113">
        <f t="shared" si="187"/>
        <v>0.1557241806025815</v>
      </c>
      <c r="AS206" s="113">
        <f t="shared" si="187"/>
        <v>0.14872849146569</v>
      </c>
      <c r="AT206" s="113">
        <f t="shared" si="187"/>
        <v>0.14003038942857632</v>
      </c>
      <c r="AU206" s="113">
        <f t="shared" si="187"/>
        <v>0.14002024102123606</v>
      </c>
      <c r="AV206" s="113">
        <f t="shared" si="187"/>
        <v>0.13739533505850782</v>
      </c>
      <c r="AW206" s="113">
        <f t="shared" si="187"/>
        <v>8.6864701596994276E-2</v>
      </c>
      <c r="AY206" s="111" t="s">
        <v>55</v>
      </c>
      <c r="AZ206" s="179">
        <f t="shared" si="179"/>
        <v>3.6595185349283708E-2</v>
      </c>
      <c r="BA206" s="179">
        <f t="shared" si="179"/>
        <v>4.1543611979429261E-2</v>
      </c>
      <c r="BB206" s="179">
        <f t="shared" si="179"/>
        <v>3.8826940460150422E-2</v>
      </c>
      <c r="BC206" s="179">
        <f t="shared" si="179"/>
        <v>3.5505113177388588E-2</v>
      </c>
      <c r="BD206" s="179">
        <f t="shared" si="179"/>
        <v>3.9264321746942159E-2</v>
      </c>
      <c r="BE206" s="179">
        <f t="shared" si="179"/>
        <v>4.2009116828572897E-2</v>
      </c>
      <c r="BF206" s="179">
        <f t="shared" si="179"/>
        <v>3.7805465075733735E-2</v>
      </c>
      <c r="BG206" s="179">
        <f t="shared" si="179"/>
        <v>3.8745484486499199E-2</v>
      </c>
      <c r="BH206" s="179">
        <f t="shared" si="179"/>
        <v>3.0055186752560022E-2</v>
      </c>
    </row>
    <row r="207" spans="2:68" s="108" customFormat="1" x14ac:dyDescent="0.25">
      <c r="B207" s="107"/>
      <c r="E207" s="109" t="s">
        <v>1</v>
      </c>
      <c r="F207" s="110" t="s">
        <v>61</v>
      </c>
      <c r="G207" s="111" t="s">
        <v>130</v>
      </c>
      <c r="H207" s="70">
        <v>21980</v>
      </c>
      <c r="I207" s="70">
        <v>16405</v>
      </c>
      <c r="J207" s="70">
        <v>19350</v>
      </c>
      <c r="K207" s="70">
        <v>14667</v>
      </c>
      <c r="L207" s="70">
        <v>15346</v>
      </c>
      <c r="M207" s="70">
        <v>15147</v>
      </c>
      <c r="N207" s="70">
        <v>17109</v>
      </c>
      <c r="O207" s="112">
        <v>15299</v>
      </c>
      <c r="P207" s="112">
        <v>21752</v>
      </c>
      <c r="R207" s="111" t="s">
        <v>130</v>
      </c>
      <c r="S207" s="220">
        <v>9.9</v>
      </c>
      <c r="T207" s="220">
        <v>14.3</v>
      </c>
      <c r="U207" s="220">
        <v>11.5</v>
      </c>
      <c r="V207" s="220">
        <v>13.3</v>
      </c>
      <c r="W207" s="220">
        <v>14.5</v>
      </c>
      <c r="X207" s="220">
        <v>15.5</v>
      </c>
      <c r="Y207" s="220">
        <v>12.8</v>
      </c>
      <c r="Z207" s="220">
        <v>14.1</v>
      </c>
      <c r="AA207" s="220">
        <v>11.3</v>
      </c>
      <c r="AC207" s="111" t="s">
        <v>130</v>
      </c>
      <c r="AD207" s="70">
        <f t="shared" si="181"/>
        <v>4352.04</v>
      </c>
      <c r="AE207" s="70">
        <f t="shared" si="177"/>
        <v>4691.83</v>
      </c>
      <c r="AF207" s="70">
        <f t="shared" si="177"/>
        <v>4450.5</v>
      </c>
      <c r="AG207" s="70">
        <f t="shared" si="177"/>
        <v>3901.422</v>
      </c>
      <c r="AH207" s="70">
        <f t="shared" si="177"/>
        <v>4450.34</v>
      </c>
      <c r="AI207" s="70">
        <f t="shared" si="177"/>
        <v>4695.57</v>
      </c>
      <c r="AJ207" s="70">
        <f t="shared" si="177"/>
        <v>4379.9040000000005</v>
      </c>
      <c r="AK207" s="70">
        <f t="shared" si="177"/>
        <v>4314.3180000000002</v>
      </c>
      <c r="AL207" s="70">
        <f t="shared" si="177"/>
        <v>4915.9520000000002</v>
      </c>
      <c r="AN207" s="111" t="s">
        <v>130</v>
      </c>
      <c r="AO207" s="113">
        <f t="shared" ref="AO207:AW207" si="188">H207/H204</f>
        <v>0.18034427870493444</v>
      </c>
      <c r="AP207" s="113">
        <f t="shared" si="188"/>
        <v>0.13785250915935598</v>
      </c>
      <c r="AQ207" s="113">
        <f t="shared" si="188"/>
        <v>0.16500946565927038</v>
      </c>
      <c r="AR207" s="113">
        <f t="shared" si="188"/>
        <v>0.12604197102246362</v>
      </c>
      <c r="AS207" s="113">
        <f t="shared" si="188"/>
        <v>0.13255821988805197</v>
      </c>
      <c r="AT207" s="113">
        <f t="shared" si="188"/>
        <v>0.12930018950711078</v>
      </c>
      <c r="AU207" s="113">
        <f t="shared" si="188"/>
        <v>0.14550572786882457</v>
      </c>
      <c r="AV207" s="113">
        <f t="shared" si="188"/>
        <v>0.13330022392416202</v>
      </c>
      <c r="AW207" s="113">
        <f t="shared" si="188"/>
        <v>0.178051355930816</v>
      </c>
      <c r="AY207" s="111" t="s">
        <v>130</v>
      </c>
      <c r="AZ207" s="179">
        <f t="shared" si="179"/>
        <v>3.5708167183577021E-2</v>
      </c>
      <c r="BA207" s="179">
        <f t="shared" si="179"/>
        <v>3.9425817619575809E-2</v>
      </c>
      <c r="BB207" s="179">
        <f t="shared" si="179"/>
        <v>3.7952177101632192E-2</v>
      </c>
      <c r="BC207" s="179">
        <f t="shared" si="179"/>
        <v>3.3527164291975324E-2</v>
      </c>
      <c r="BD207" s="179">
        <f t="shared" si="179"/>
        <v>3.8441883767535073E-2</v>
      </c>
      <c r="BE207" s="179">
        <f t="shared" si="179"/>
        <v>4.0083058747204338E-2</v>
      </c>
      <c r="BF207" s="179">
        <f t="shared" si="179"/>
        <v>3.7249466334419092E-2</v>
      </c>
      <c r="BG207" s="179">
        <f t="shared" si="179"/>
        <v>3.759066314661369E-2</v>
      </c>
      <c r="BH207" s="179">
        <f t="shared" si="179"/>
        <v>4.0239606440364416E-2</v>
      </c>
    </row>
    <row r="208" spans="2:68" s="108" customFormat="1" x14ac:dyDescent="0.25">
      <c r="B208" s="107"/>
      <c r="E208" s="109" t="s">
        <v>1</v>
      </c>
      <c r="F208" s="110" t="s">
        <v>61</v>
      </c>
      <c r="G208" s="111" t="s">
        <v>131</v>
      </c>
      <c r="H208" s="112">
        <v>36524</v>
      </c>
      <c r="I208" s="112">
        <v>44747</v>
      </c>
      <c r="J208" s="112">
        <v>40993</v>
      </c>
      <c r="K208" s="112">
        <v>44986</v>
      </c>
      <c r="L208" s="112">
        <v>47188</v>
      </c>
      <c r="M208" s="112">
        <v>50458</v>
      </c>
      <c r="N208" s="112">
        <v>52638</v>
      </c>
      <c r="O208" s="112">
        <v>54890</v>
      </c>
      <c r="P208" s="112">
        <v>65154</v>
      </c>
      <c r="R208" s="111" t="s">
        <v>131</v>
      </c>
      <c r="S208" s="220">
        <v>8.1</v>
      </c>
      <c r="T208" s="220">
        <v>7.2</v>
      </c>
      <c r="U208" s="220">
        <v>7.2</v>
      </c>
      <c r="V208" s="220">
        <v>6.7</v>
      </c>
      <c r="W208" s="220">
        <v>6.8</v>
      </c>
      <c r="X208" s="220">
        <v>6.9</v>
      </c>
      <c r="Y208" s="220">
        <v>6</v>
      </c>
      <c r="Z208" s="220">
        <v>6.3</v>
      </c>
      <c r="AA208" s="220">
        <v>6.2</v>
      </c>
      <c r="AC208" s="111" t="s">
        <v>131</v>
      </c>
      <c r="AD208" s="112">
        <f t="shared" si="181"/>
        <v>5916.887999999999</v>
      </c>
      <c r="AE208" s="112">
        <f t="shared" si="177"/>
        <v>6443.5680000000002</v>
      </c>
      <c r="AF208" s="112">
        <f t="shared" si="177"/>
        <v>5902.9920000000011</v>
      </c>
      <c r="AG208" s="112">
        <f t="shared" si="177"/>
        <v>6028.1239999999998</v>
      </c>
      <c r="AH208" s="112">
        <f t="shared" si="177"/>
        <v>6417.5679999999993</v>
      </c>
      <c r="AI208" s="112">
        <f t="shared" si="177"/>
        <v>6963.2040000000006</v>
      </c>
      <c r="AJ208" s="112">
        <f t="shared" si="177"/>
        <v>6316.56</v>
      </c>
      <c r="AK208" s="112">
        <f t="shared" si="177"/>
        <v>6916.14</v>
      </c>
      <c r="AL208" s="112">
        <f t="shared" si="177"/>
        <v>8079.0959999999995</v>
      </c>
      <c r="AN208" s="111" t="s">
        <v>131</v>
      </c>
      <c r="AO208" s="113">
        <f t="shared" ref="AO208:AW208" si="189">H208/H204</f>
        <v>0.29967672590623412</v>
      </c>
      <c r="AP208" s="113">
        <f t="shared" si="189"/>
        <v>0.37601257100601659</v>
      </c>
      <c r="AQ208" s="113">
        <f t="shared" si="189"/>
        <v>0.34957276618968841</v>
      </c>
      <c r="AR208" s="113">
        <f t="shared" si="189"/>
        <v>0.38659058487874465</v>
      </c>
      <c r="AS208" s="113">
        <f t="shared" si="189"/>
        <v>0.40760832008845277</v>
      </c>
      <c r="AT208" s="113">
        <f t="shared" si="189"/>
        <v>0.43072746828743619</v>
      </c>
      <c r="AU208" s="113">
        <f t="shared" si="189"/>
        <v>0.44766675454785132</v>
      </c>
      <c r="AV208" s="113">
        <f t="shared" si="189"/>
        <v>0.47825670247710661</v>
      </c>
      <c r="AW208" s="113">
        <f t="shared" si="189"/>
        <v>0.53331914510465184</v>
      </c>
      <c r="AY208" s="111" t="s">
        <v>131</v>
      </c>
      <c r="AZ208" s="179">
        <f t="shared" si="179"/>
        <v>4.8547629596809923E-2</v>
      </c>
      <c r="BA208" s="179">
        <f t="shared" si="179"/>
        <v>5.4145810224866392E-2</v>
      </c>
      <c r="BB208" s="179">
        <f t="shared" si="179"/>
        <v>5.0338478331315127E-2</v>
      </c>
      <c r="BC208" s="179">
        <f t="shared" si="179"/>
        <v>5.1803138373751778E-2</v>
      </c>
      <c r="BD208" s="179">
        <f t="shared" si="179"/>
        <v>5.5434731532029574E-2</v>
      </c>
      <c r="BE208" s="179">
        <f t="shared" si="179"/>
        <v>5.9440390623666198E-2</v>
      </c>
      <c r="BF208" s="179">
        <f t="shared" si="179"/>
        <v>5.3720010545742165E-2</v>
      </c>
      <c r="BG208" s="179">
        <f t="shared" si="179"/>
        <v>6.0260344512115427E-2</v>
      </c>
      <c r="BH208" s="179">
        <f t="shared" si="179"/>
        <v>6.6131573992976825E-2</v>
      </c>
    </row>
    <row r="209" spans="2:68" s="87" customFormat="1" x14ac:dyDescent="0.25">
      <c r="B209" s="84"/>
      <c r="C209" s="85"/>
      <c r="D209" s="85"/>
      <c r="E209" s="109" t="s">
        <v>2</v>
      </c>
      <c r="F209" s="110" t="s">
        <v>61</v>
      </c>
      <c r="G209" s="195" t="s">
        <v>7</v>
      </c>
      <c r="H209" s="69">
        <v>217093</v>
      </c>
      <c r="I209" s="69">
        <v>209645</v>
      </c>
      <c r="J209" s="69">
        <v>197094</v>
      </c>
      <c r="K209" s="69">
        <v>184648</v>
      </c>
      <c r="L209" s="69">
        <v>175813</v>
      </c>
      <c r="M209" s="69">
        <v>168572</v>
      </c>
      <c r="N209" s="69">
        <v>165993</v>
      </c>
      <c r="O209" s="69">
        <v>164144</v>
      </c>
      <c r="P209" s="69">
        <v>165899</v>
      </c>
      <c r="R209" s="195" t="s">
        <v>7</v>
      </c>
      <c r="S209" s="226">
        <v>1.1000000000000001</v>
      </c>
      <c r="T209" s="226">
        <v>1.3</v>
      </c>
      <c r="U209" s="226">
        <v>1.4</v>
      </c>
      <c r="V209" s="226">
        <v>1.4</v>
      </c>
      <c r="W209" s="226">
        <v>1.5</v>
      </c>
      <c r="X209" s="226">
        <v>1.6</v>
      </c>
      <c r="Y209" s="226">
        <v>1.5</v>
      </c>
      <c r="Z209" s="226">
        <v>1.8</v>
      </c>
      <c r="AA209" s="226">
        <v>1.5</v>
      </c>
      <c r="AC209" s="195" t="s">
        <v>7</v>
      </c>
      <c r="AD209" s="69">
        <f t="shared" si="181"/>
        <v>4776.0460000000003</v>
      </c>
      <c r="AE209" s="69">
        <f t="shared" si="177"/>
        <v>5450.77</v>
      </c>
      <c r="AF209" s="69">
        <f t="shared" si="177"/>
        <v>5518.6319999999996</v>
      </c>
      <c r="AG209" s="69">
        <f t="shared" si="177"/>
        <v>5170.1439999999993</v>
      </c>
      <c r="AH209" s="69">
        <f t="shared" si="177"/>
        <v>5274.39</v>
      </c>
      <c r="AI209" s="69">
        <f t="shared" si="177"/>
        <v>5394.3040000000001</v>
      </c>
      <c r="AJ209" s="69">
        <f t="shared" si="177"/>
        <v>4979.79</v>
      </c>
      <c r="AK209" s="69">
        <f t="shared" si="177"/>
        <v>5909.1840000000002</v>
      </c>
      <c r="AL209" s="69">
        <f t="shared" si="177"/>
        <v>4976.97</v>
      </c>
      <c r="AN209" s="195" t="s">
        <v>7</v>
      </c>
      <c r="AO209" s="98">
        <f t="shared" ref="AO209:AW209" si="190">H209/H209</f>
        <v>1</v>
      </c>
      <c r="AP209" s="98">
        <f t="shared" si="190"/>
        <v>1</v>
      </c>
      <c r="AQ209" s="98">
        <f t="shared" si="190"/>
        <v>1</v>
      </c>
      <c r="AR209" s="98">
        <f t="shared" si="190"/>
        <v>1</v>
      </c>
      <c r="AS209" s="98">
        <f t="shared" si="190"/>
        <v>1</v>
      </c>
      <c r="AT209" s="98">
        <f t="shared" si="190"/>
        <v>1</v>
      </c>
      <c r="AU209" s="98">
        <f t="shared" si="190"/>
        <v>1</v>
      </c>
      <c r="AV209" s="98">
        <f t="shared" si="190"/>
        <v>1</v>
      </c>
      <c r="AW209" s="98">
        <f t="shared" si="190"/>
        <v>1</v>
      </c>
      <c r="AX209" s="191"/>
      <c r="AY209" s="195" t="s">
        <v>7</v>
      </c>
      <c r="AZ209" s="178">
        <f t="shared" si="179"/>
        <v>2.2000000000000002E-2</v>
      </c>
      <c r="BA209" s="178">
        <f t="shared" si="179"/>
        <v>2.6000000000000002E-2</v>
      </c>
      <c r="BB209" s="178">
        <f t="shared" si="179"/>
        <v>2.7999999999999997E-2</v>
      </c>
      <c r="BC209" s="178">
        <f t="shared" si="179"/>
        <v>2.7999999999999997E-2</v>
      </c>
      <c r="BD209" s="178">
        <f t="shared" si="179"/>
        <v>0.03</v>
      </c>
      <c r="BE209" s="178">
        <f t="shared" si="179"/>
        <v>3.2000000000000001E-2</v>
      </c>
      <c r="BF209" s="178">
        <f t="shared" si="179"/>
        <v>0.03</v>
      </c>
      <c r="BG209" s="178">
        <f t="shared" si="179"/>
        <v>3.6000000000000004E-2</v>
      </c>
      <c r="BH209" s="178">
        <f t="shared" si="179"/>
        <v>0.03</v>
      </c>
      <c r="BI209" s="191"/>
      <c r="BJ209" s="191"/>
      <c r="BK209" s="191"/>
      <c r="BL209" s="191"/>
      <c r="BM209" s="191"/>
      <c r="BN209" s="191"/>
      <c r="BO209" s="191"/>
      <c r="BP209" s="191"/>
    </row>
    <row r="210" spans="2:68" s="108" customFormat="1" x14ac:dyDescent="0.25">
      <c r="B210" s="107"/>
      <c r="E210" s="109" t="s">
        <v>2</v>
      </c>
      <c r="F210" s="110" t="s">
        <v>61</v>
      </c>
      <c r="G210" s="111" t="s">
        <v>54</v>
      </c>
      <c r="H210" s="112">
        <v>79051</v>
      </c>
      <c r="I210" s="112">
        <v>66640</v>
      </c>
      <c r="J210" s="112">
        <v>62630</v>
      </c>
      <c r="K210" s="112">
        <v>55522</v>
      </c>
      <c r="L210" s="112">
        <v>47879</v>
      </c>
      <c r="M210" s="112">
        <v>41475</v>
      </c>
      <c r="N210" s="112">
        <v>52537</v>
      </c>
      <c r="O210" s="112">
        <v>33396</v>
      </c>
      <c r="P210" s="112">
        <v>34314</v>
      </c>
      <c r="R210" s="111" t="s">
        <v>54</v>
      </c>
      <c r="S210" s="220">
        <v>4.5999999999999996</v>
      </c>
      <c r="T210" s="220">
        <v>6</v>
      </c>
      <c r="U210" s="220">
        <v>5.9</v>
      </c>
      <c r="V210" s="220">
        <v>5.7</v>
      </c>
      <c r="W210" s="220">
        <v>7.6</v>
      </c>
      <c r="X210" s="220">
        <v>8.6</v>
      </c>
      <c r="Y210" s="220">
        <v>6.4</v>
      </c>
      <c r="Z210" s="220">
        <v>9.4</v>
      </c>
      <c r="AA210" s="220">
        <v>9.1999999999999993</v>
      </c>
      <c r="AC210" s="111" t="s">
        <v>54</v>
      </c>
      <c r="AD210" s="112">
        <f t="shared" si="181"/>
        <v>7272.6919999999991</v>
      </c>
      <c r="AE210" s="112">
        <f t="shared" si="177"/>
        <v>7996.8</v>
      </c>
      <c r="AF210" s="112">
        <f t="shared" si="177"/>
        <v>7390.34</v>
      </c>
      <c r="AG210" s="112">
        <f t="shared" si="177"/>
        <v>6329.5080000000007</v>
      </c>
      <c r="AH210" s="112">
        <f t="shared" si="177"/>
        <v>7277.6079999999993</v>
      </c>
      <c r="AI210" s="112">
        <f t="shared" si="177"/>
        <v>7133.7</v>
      </c>
      <c r="AJ210" s="112">
        <f t="shared" si="177"/>
        <v>6724.7360000000008</v>
      </c>
      <c r="AK210" s="112">
        <f t="shared" si="177"/>
        <v>6278.4480000000003</v>
      </c>
      <c r="AL210" s="112">
        <f t="shared" si="177"/>
        <v>6313.7759999999998</v>
      </c>
      <c r="AN210" s="111" t="s">
        <v>54</v>
      </c>
      <c r="AO210" s="113">
        <f t="shared" ref="AO210:AW210" si="191">H210/H209</f>
        <v>0.36413426503848578</v>
      </c>
      <c r="AP210" s="113">
        <f t="shared" si="191"/>
        <v>0.31787068615993702</v>
      </c>
      <c r="AQ210" s="113">
        <f t="shared" si="191"/>
        <v>0.31776715678813156</v>
      </c>
      <c r="AR210" s="113">
        <f t="shared" si="191"/>
        <v>0.30069104458212381</v>
      </c>
      <c r="AS210" s="113">
        <f t="shared" si="191"/>
        <v>0.27232912241984381</v>
      </c>
      <c r="AT210" s="113">
        <f t="shared" si="191"/>
        <v>0.24603730156846926</v>
      </c>
      <c r="AU210" s="113">
        <f t="shared" si="191"/>
        <v>0.31650129824751644</v>
      </c>
      <c r="AV210" s="113">
        <f t="shared" si="191"/>
        <v>0.20345550248562239</v>
      </c>
      <c r="AW210" s="113">
        <f t="shared" si="191"/>
        <v>0.20683668979318742</v>
      </c>
      <c r="AY210" s="111" t="s">
        <v>54</v>
      </c>
      <c r="AZ210" s="179">
        <f t="shared" si="179"/>
        <v>3.3500352383540689E-2</v>
      </c>
      <c r="BA210" s="179">
        <f t="shared" si="179"/>
        <v>3.8144482339192445E-2</v>
      </c>
      <c r="BB210" s="179">
        <f t="shared" si="179"/>
        <v>3.7496524500999523E-2</v>
      </c>
      <c r="BC210" s="179">
        <f t="shared" si="179"/>
        <v>3.4278779082362119E-2</v>
      </c>
      <c r="BD210" s="179">
        <f t="shared" si="179"/>
        <v>4.1394026607816256E-2</v>
      </c>
      <c r="BE210" s="179">
        <f t="shared" si="179"/>
        <v>4.2318415869776714E-2</v>
      </c>
      <c r="BF210" s="179">
        <f t="shared" si="179"/>
        <v>4.051216617568211E-2</v>
      </c>
      <c r="BG210" s="179">
        <f t="shared" si="179"/>
        <v>3.8249634467297011E-2</v>
      </c>
      <c r="BH210" s="179">
        <f t="shared" si="179"/>
        <v>3.8057950921946485E-2</v>
      </c>
    </row>
    <row r="211" spans="2:68" s="108" customFormat="1" x14ac:dyDescent="0.25">
      <c r="B211" s="107"/>
      <c r="E211" s="109" t="s">
        <v>2</v>
      </c>
      <c r="F211" s="110" t="s">
        <v>61</v>
      </c>
      <c r="G211" s="111" t="s">
        <v>55</v>
      </c>
      <c r="H211" s="70">
        <v>49492</v>
      </c>
      <c r="I211" s="70">
        <v>61079</v>
      </c>
      <c r="J211" s="70">
        <v>52368</v>
      </c>
      <c r="K211" s="70">
        <v>50640</v>
      </c>
      <c r="L211" s="70">
        <v>37627</v>
      </c>
      <c r="M211" s="70">
        <v>41584</v>
      </c>
      <c r="N211" s="70">
        <v>38739</v>
      </c>
      <c r="O211" s="112">
        <v>39502</v>
      </c>
      <c r="P211" s="112">
        <v>37275</v>
      </c>
      <c r="R211" s="111" t="s">
        <v>55</v>
      </c>
      <c r="S211" s="81">
        <v>6.6</v>
      </c>
      <c r="T211" s="81">
        <v>6.7</v>
      </c>
      <c r="U211" s="81">
        <v>6.6</v>
      </c>
      <c r="V211" s="81">
        <v>6.1</v>
      </c>
      <c r="W211" s="81">
        <v>9.6999999999999993</v>
      </c>
      <c r="X211" s="81">
        <v>8.6</v>
      </c>
      <c r="Y211" s="81">
        <v>8.6</v>
      </c>
      <c r="Z211" s="81">
        <v>8.6999999999999993</v>
      </c>
      <c r="AA211" s="81">
        <v>8.5</v>
      </c>
      <c r="AC211" s="111" t="s">
        <v>55</v>
      </c>
      <c r="AD211" s="70">
        <f t="shared" si="181"/>
        <v>6532.9439999999995</v>
      </c>
      <c r="AE211" s="70">
        <f t="shared" si="177"/>
        <v>8184.5859999999993</v>
      </c>
      <c r="AF211" s="70">
        <f t="shared" si="177"/>
        <v>6912.576</v>
      </c>
      <c r="AG211" s="70">
        <f t="shared" si="177"/>
        <v>6178.08</v>
      </c>
      <c r="AH211" s="70">
        <f t="shared" si="177"/>
        <v>7299.637999999999</v>
      </c>
      <c r="AI211" s="70">
        <f t="shared" si="177"/>
        <v>7152.4479999999994</v>
      </c>
      <c r="AJ211" s="70">
        <f t="shared" si="177"/>
        <v>6663.1079999999993</v>
      </c>
      <c r="AK211" s="70">
        <f t="shared" si="177"/>
        <v>6873.347999999999</v>
      </c>
      <c r="AL211" s="70">
        <f t="shared" si="177"/>
        <v>6336.75</v>
      </c>
      <c r="AN211" s="111" t="s">
        <v>55</v>
      </c>
      <c r="AO211" s="113">
        <f t="shared" ref="AO211:AW211" si="192">H211/H209</f>
        <v>0.22797602870659117</v>
      </c>
      <c r="AP211" s="113">
        <f t="shared" si="192"/>
        <v>0.29134489255646451</v>
      </c>
      <c r="AQ211" s="113">
        <f t="shared" si="192"/>
        <v>0.26570063015616913</v>
      </c>
      <c r="AR211" s="113">
        <f t="shared" si="192"/>
        <v>0.27425154889302888</v>
      </c>
      <c r="AS211" s="113">
        <f t="shared" si="192"/>
        <v>0.21401716596611173</v>
      </c>
      <c r="AT211" s="113">
        <f t="shared" si="192"/>
        <v>0.24668390954606934</v>
      </c>
      <c r="AU211" s="113">
        <f t="shared" si="192"/>
        <v>0.23337731109143156</v>
      </c>
      <c r="AV211" s="113">
        <f t="shared" si="192"/>
        <v>0.24065454722682522</v>
      </c>
      <c r="AW211" s="113">
        <f t="shared" si="192"/>
        <v>0.22468489864315036</v>
      </c>
      <c r="AY211" s="111" t="s">
        <v>55</v>
      </c>
      <c r="AZ211" s="179">
        <f t="shared" si="179"/>
        <v>3.0092835789270033E-2</v>
      </c>
      <c r="BA211" s="179">
        <f t="shared" si="179"/>
        <v>3.9040215602566243E-2</v>
      </c>
      <c r="BB211" s="179">
        <f t="shared" si="179"/>
        <v>3.5072483180614324E-2</v>
      </c>
      <c r="BC211" s="179">
        <f t="shared" si="179"/>
        <v>3.3458688964949523E-2</v>
      </c>
      <c r="BD211" s="179">
        <f t="shared" si="179"/>
        <v>4.1519330197425673E-2</v>
      </c>
      <c r="BE211" s="179">
        <f t="shared" si="179"/>
        <v>4.2429632441923923E-2</v>
      </c>
      <c r="BF211" s="179">
        <f t="shared" si="179"/>
        <v>4.0140897507726231E-2</v>
      </c>
      <c r="BG211" s="179">
        <f t="shared" si="179"/>
        <v>4.1873891217467589E-2</v>
      </c>
      <c r="BH211" s="179">
        <f t="shared" si="179"/>
        <v>3.8196432769335563E-2</v>
      </c>
    </row>
    <row r="212" spans="2:68" s="108" customFormat="1" x14ac:dyDescent="0.25">
      <c r="B212" s="107"/>
      <c r="E212" s="109" t="s">
        <v>2</v>
      </c>
      <c r="F212" s="110" t="s">
        <v>61</v>
      </c>
      <c r="G212" s="111" t="s">
        <v>130</v>
      </c>
      <c r="H212" s="70">
        <v>32192</v>
      </c>
      <c r="I212" s="70">
        <v>27233</v>
      </c>
      <c r="J212" s="70">
        <v>25310</v>
      </c>
      <c r="K212" s="70">
        <v>23392</v>
      </c>
      <c r="L212" s="70">
        <v>29515</v>
      </c>
      <c r="M212" s="70">
        <v>25543</v>
      </c>
      <c r="N212" s="70">
        <v>20835</v>
      </c>
      <c r="O212" s="112">
        <v>23282</v>
      </c>
      <c r="P212" s="112">
        <v>27548</v>
      </c>
      <c r="R212" s="111" t="s">
        <v>130</v>
      </c>
      <c r="S212" s="220">
        <v>8.3000000000000007</v>
      </c>
      <c r="T212" s="220">
        <v>11.4</v>
      </c>
      <c r="U212" s="220">
        <v>10.3</v>
      </c>
      <c r="V212" s="220">
        <v>10.4</v>
      </c>
      <c r="W212" s="220">
        <v>10.9</v>
      </c>
      <c r="X212" s="220">
        <v>11.6</v>
      </c>
      <c r="Y212" s="220">
        <v>12</v>
      </c>
      <c r="Z212" s="220">
        <v>11.9</v>
      </c>
      <c r="AA212" s="220">
        <v>10.4</v>
      </c>
      <c r="AC212" s="111" t="s">
        <v>130</v>
      </c>
      <c r="AD212" s="70">
        <f t="shared" si="181"/>
        <v>5343.8720000000003</v>
      </c>
      <c r="AE212" s="70">
        <f t="shared" si="177"/>
        <v>6209.1239999999998</v>
      </c>
      <c r="AF212" s="70">
        <f t="shared" si="177"/>
        <v>5213.8600000000006</v>
      </c>
      <c r="AG212" s="70">
        <f t="shared" si="177"/>
        <v>4865.5360000000001</v>
      </c>
      <c r="AH212" s="70">
        <f t="shared" si="177"/>
        <v>6434.27</v>
      </c>
      <c r="AI212" s="70">
        <f t="shared" si="177"/>
        <v>5925.9759999999997</v>
      </c>
      <c r="AJ212" s="70">
        <f t="shared" si="177"/>
        <v>5000.3999999999996</v>
      </c>
      <c r="AK212" s="70">
        <f t="shared" si="177"/>
        <v>5541.116</v>
      </c>
      <c r="AL212" s="70">
        <f t="shared" si="177"/>
        <v>5729.9840000000004</v>
      </c>
      <c r="AN212" s="111" t="s">
        <v>130</v>
      </c>
      <c r="AO212" s="113">
        <f t="shared" ref="AO212:AW212" si="193">H212/H209</f>
        <v>0.14828667898089759</v>
      </c>
      <c r="AP212" s="113">
        <f t="shared" si="193"/>
        <v>0.12990054616136804</v>
      </c>
      <c r="AQ212" s="113">
        <f t="shared" si="193"/>
        <v>0.12841588277674612</v>
      </c>
      <c r="AR212" s="113">
        <f t="shared" si="193"/>
        <v>0.12668428577617954</v>
      </c>
      <c r="AS212" s="113">
        <f t="shared" si="193"/>
        <v>0.16787723319663506</v>
      </c>
      <c r="AT212" s="113">
        <f t="shared" si="193"/>
        <v>0.15152575753980496</v>
      </c>
      <c r="AU212" s="113">
        <f t="shared" si="193"/>
        <v>0.12551734109269669</v>
      </c>
      <c r="AV212" s="113">
        <f t="shared" si="193"/>
        <v>0.1418388731845209</v>
      </c>
      <c r="AW212" s="113">
        <f t="shared" si="193"/>
        <v>0.16605283937817589</v>
      </c>
      <c r="AY212" s="111" t="s">
        <v>130</v>
      </c>
      <c r="AZ212" s="179">
        <f t="shared" si="179"/>
        <v>2.4615588710829001E-2</v>
      </c>
      <c r="BA212" s="179">
        <f t="shared" si="179"/>
        <v>2.9617324524791915E-2</v>
      </c>
      <c r="BB212" s="179">
        <f t="shared" si="179"/>
        <v>2.6453671852009704E-2</v>
      </c>
      <c r="BC212" s="179">
        <f t="shared" si="179"/>
        <v>2.6350331441445343E-2</v>
      </c>
      <c r="BD212" s="179">
        <f t="shared" si="179"/>
        <v>3.6597236836866442E-2</v>
      </c>
      <c r="BE212" s="179">
        <f t="shared" si="179"/>
        <v>3.5153975749234755E-2</v>
      </c>
      <c r="BF212" s="179">
        <f t="shared" si="179"/>
        <v>3.0124161862247204E-2</v>
      </c>
      <c r="BG212" s="179">
        <f t="shared" si="179"/>
        <v>3.3757651817915978E-2</v>
      </c>
      <c r="BH212" s="179">
        <f t="shared" si="179"/>
        <v>3.4538990590660588E-2</v>
      </c>
    </row>
    <row r="213" spans="2:68" s="108" customFormat="1" x14ac:dyDescent="0.25">
      <c r="B213" s="107"/>
      <c r="E213" s="109" t="s">
        <v>2</v>
      </c>
      <c r="F213" s="110" t="s">
        <v>61</v>
      </c>
      <c r="G213" s="111" t="s">
        <v>131</v>
      </c>
      <c r="H213" s="112">
        <v>56358</v>
      </c>
      <c r="I213" s="112">
        <v>54693</v>
      </c>
      <c r="J213" s="112">
        <v>56785</v>
      </c>
      <c r="K213" s="112">
        <v>55095</v>
      </c>
      <c r="L213" s="112">
        <v>60791</v>
      </c>
      <c r="M213" s="112">
        <v>59970</v>
      </c>
      <c r="N213" s="112">
        <v>53881</v>
      </c>
      <c r="O213" s="112">
        <v>67964</v>
      </c>
      <c r="P213" s="112">
        <v>66762</v>
      </c>
      <c r="R213" s="111" t="s">
        <v>131</v>
      </c>
      <c r="S213" s="220">
        <v>6.3</v>
      </c>
      <c r="T213" s="220">
        <v>7.6</v>
      </c>
      <c r="U213" s="220">
        <v>6.5</v>
      </c>
      <c r="V213" s="220">
        <v>5.7</v>
      </c>
      <c r="W213" s="220">
        <v>6.2</v>
      </c>
      <c r="X213" s="220">
        <v>6.6</v>
      </c>
      <c r="Y213" s="220">
        <v>6.4</v>
      </c>
      <c r="Z213" s="220">
        <v>5.5</v>
      </c>
      <c r="AA213" s="220">
        <v>5.4</v>
      </c>
      <c r="AC213" s="111" t="s">
        <v>131</v>
      </c>
      <c r="AD213" s="112">
        <f t="shared" si="181"/>
        <v>7101.1079999999993</v>
      </c>
      <c r="AE213" s="112">
        <f t="shared" si="177"/>
        <v>8313.3359999999993</v>
      </c>
      <c r="AF213" s="112">
        <f t="shared" si="177"/>
        <v>7382.05</v>
      </c>
      <c r="AG213" s="112">
        <f t="shared" si="177"/>
        <v>6280.83</v>
      </c>
      <c r="AH213" s="112">
        <f t="shared" si="177"/>
        <v>7538.0839999999998</v>
      </c>
      <c r="AI213" s="112">
        <f t="shared" si="177"/>
        <v>7916.04</v>
      </c>
      <c r="AJ213" s="112">
        <f t="shared" si="177"/>
        <v>6896.768</v>
      </c>
      <c r="AK213" s="112">
        <f t="shared" si="177"/>
        <v>7476.04</v>
      </c>
      <c r="AL213" s="112">
        <f t="shared" si="177"/>
        <v>7210.2960000000012</v>
      </c>
      <c r="AN213" s="111" t="s">
        <v>131</v>
      </c>
      <c r="AO213" s="113">
        <f t="shared" ref="AO213:AW213" si="194">H213/H209</f>
        <v>0.2596030272740254</v>
      </c>
      <c r="AP213" s="113">
        <f t="shared" si="194"/>
        <v>0.26088387512223044</v>
      </c>
      <c r="AQ213" s="113">
        <f t="shared" si="194"/>
        <v>0.28811125655778463</v>
      </c>
      <c r="AR213" s="113">
        <f t="shared" si="194"/>
        <v>0.298378536458559</v>
      </c>
      <c r="AS213" s="113">
        <f t="shared" si="194"/>
        <v>0.34577079055587473</v>
      </c>
      <c r="AT213" s="113">
        <f t="shared" si="194"/>
        <v>0.35575303134565645</v>
      </c>
      <c r="AU213" s="113">
        <f t="shared" si="194"/>
        <v>0.32459802521793085</v>
      </c>
      <c r="AV213" s="113">
        <f t="shared" si="194"/>
        <v>0.41405107710303146</v>
      </c>
      <c r="AW213" s="113">
        <f t="shared" si="194"/>
        <v>0.40242557218548636</v>
      </c>
      <c r="AY213" s="111" t="s">
        <v>131</v>
      </c>
      <c r="AZ213" s="179">
        <f t="shared" si="179"/>
        <v>3.2709981436527202E-2</v>
      </c>
      <c r="BA213" s="179">
        <f t="shared" si="179"/>
        <v>3.9654349018579026E-2</v>
      </c>
      <c r="BB213" s="179">
        <f t="shared" si="179"/>
        <v>3.7454463352512006E-2</v>
      </c>
      <c r="BC213" s="179">
        <f t="shared" si="179"/>
        <v>3.4015153156275728E-2</v>
      </c>
      <c r="BD213" s="179">
        <f t="shared" si="179"/>
        <v>4.2875578028928468E-2</v>
      </c>
      <c r="BE213" s="179">
        <f t="shared" si="179"/>
        <v>4.6959400137626651E-2</v>
      </c>
      <c r="BF213" s="179">
        <f t="shared" si="179"/>
        <v>4.1548547227895145E-2</v>
      </c>
      <c r="BG213" s="179">
        <f t="shared" si="179"/>
        <v>4.5545618481333462E-2</v>
      </c>
      <c r="BH213" s="179">
        <f t="shared" si="179"/>
        <v>4.3461961796032532E-2</v>
      </c>
    </row>
    <row r="214" spans="2:68" s="87" customFormat="1" x14ac:dyDescent="0.25">
      <c r="B214" s="84"/>
      <c r="C214" s="85"/>
      <c r="D214" s="85"/>
      <c r="E214" s="109" t="s">
        <v>3</v>
      </c>
      <c r="F214" s="110" t="s">
        <v>61</v>
      </c>
      <c r="G214" s="195" t="s">
        <v>7</v>
      </c>
      <c r="H214" s="69">
        <v>230666</v>
      </c>
      <c r="I214" s="69">
        <v>246145</v>
      </c>
      <c r="J214" s="69">
        <v>257365</v>
      </c>
      <c r="K214" s="69">
        <v>272307</v>
      </c>
      <c r="L214" s="69">
        <v>282584</v>
      </c>
      <c r="M214" s="69">
        <v>285551</v>
      </c>
      <c r="N214" s="69">
        <v>281774</v>
      </c>
      <c r="O214" s="69">
        <v>281638</v>
      </c>
      <c r="P214" s="69">
        <v>275204</v>
      </c>
      <c r="R214" s="195" t="s">
        <v>7</v>
      </c>
      <c r="S214" s="226">
        <v>2.9</v>
      </c>
      <c r="T214" s="226">
        <v>1.2</v>
      </c>
      <c r="U214" s="226">
        <v>0.9</v>
      </c>
      <c r="V214" s="226">
        <v>1</v>
      </c>
      <c r="W214" s="226">
        <v>1.3</v>
      </c>
      <c r="X214" s="226">
        <v>1.2</v>
      </c>
      <c r="Y214" s="226">
        <v>1</v>
      </c>
      <c r="Z214" s="226">
        <v>1.1000000000000001</v>
      </c>
      <c r="AA214" s="226">
        <v>1.1000000000000001</v>
      </c>
      <c r="AC214" s="195" t="s">
        <v>7</v>
      </c>
      <c r="AD214" s="69">
        <f t="shared" si="181"/>
        <v>13378.628000000001</v>
      </c>
      <c r="AE214" s="69">
        <f t="shared" si="177"/>
        <v>5907.48</v>
      </c>
      <c r="AF214" s="69">
        <f t="shared" si="177"/>
        <v>4632.57</v>
      </c>
      <c r="AG214" s="69">
        <f t="shared" si="177"/>
        <v>5446.14</v>
      </c>
      <c r="AH214" s="69">
        <f t="shared" si="177"/>
        <v>7347.1840000000002</v>
      </c>
      <c r="AI214" s="69">
        <f t="shared" si="177"/>
        <v>6853.2240000000002</v>
      </c>
      <c r="AJ214" s="69">
        <f t="shared" si="177"/>
        <v>5635.48</v>
      </c>
      <c r="AK214" s="69">
        <f t="shared" si="177"/>
        <v>6196.036000000001</v>
      </c>
      <c r="AL214" s="69">
        <f t="shared" si="177"/>
        <v>6054.4880000000003</v>
      </c>
      <c r="AN214" s="195" t="s">
        <v>7</v>
      </c>
      <c r="AO214" s="98">
        <f t="shared" ref="AO214:AW214" si="195">H214/H214</f>
        <v>1</v>
      </c>
      <c r="AP214" s="98">
        <f t="shared" si="195"/>
        <v>1</v>
      </c>
      <c r="AQ214" s="98">
        <f t="shared" si="195"/>
        <v>1</v>
      </c>
      <c r="AR214" s="98">
        <f t="shared" si="195"/>
        <v>1</v>
      </c>
      <c r="AS214" s="98">
        <f t="shared" si="195"/>
        <v>1</v>
      </c>
      <c r="AT214" s="98">
        <f t="shared" si="195"/>
        <v>1</v>
      </c>
      <c r="AU214" s="98">
        <f t="shared" si="195"/>
        <v>1</v>
      </c>
      <c r="AV214" s="98">
        <f t="shared" si="195"/>
        <v>1</v>
      </c>
      <c r="AW214" s="98">
        <f t="shared" si="195"/>
        <v>1</v>
      </c>
      <c r="AX214" s="191"/>
      <c r="AY214" s="195" t="s">
        <v>7</v>
      </c>
      <c r="AZ214" s="178">
        <f t="shared" si="179"/>
        <v>5.7999999999999996E-2</v>
      </c>
      <c r="BA214" s="178">
        <f t="shared" si="179"/>
        <v>2.4E-2</v>
      </c>
      <c r="BB214" s="178">
        <f t="shared" si="179"/>
        <v>1.8000000000000002E-2</v>
      </c>
      <c r="BC214" s="178">
        <f t="shared" si="179"/>
        <v>0.02</v>
      </c>
      <c r="BD214" s="178">
        <f t="shared" si="179"/>
        <v>2.6000000000000002E-2</v>
      </c>
      <c r="BE214" s="178">
        <f t="shared" si="179"/>
        <v>2.4E-2</v>
      </c>
      <c r="BF214" s="178">
        <f t="shared" si="179"/>
        <v>0.02</v>
      </c>
      <c r="BG214" s="178">
        <f t="shared" si="179"/>
        <v>2.2000000000000002E-2</v>
      </c>
      <c r="BH214" s="178">
        <f t="shared" si="179"/>
        <v>2.2000000000000002E-2</v>
      </c>
      <c r="BI214" s="191"/>
      <c r="BJ214" s="191"/>
      <c r="BK214" s="191"/>
      <c r="BL214" s="191"/>
      <c r="BM214" s="191"/>
      <c r="BN214" s="191"/>
      <c r="BO214" s="191"/>
      <c r="BP214" s="191"/>
    </row>
    <row r="215" spans="2:68" s="108" customFormat="1" x14ac:dyDescent="0.25">
      <c r="B215" s="107"/>
      <c r="E215" s="109" t="s">
        <v>3</v>
      </c>
      <c r="F215" s="110" t="s">
        <v>61</v>
      </c>
      <c r="G215" s="111" t="s">
        <v>54</v>
      </c>
      <c r="H215" s="112">
        <v>66641</v>
      </c>
      <c r="I215" s="112">
        <v>57851</v>
      </c>
      <c r="J215" s="112">
        <v>55795</v>
      </c>
      <c r="K215" s="112">
        <v>73509</v>
      </c>
      <c r="L215" s="112">
        <v>75285</v>
      </c>
      <c r="M215" s="112">
        <v>79668</v>
      </c>
      <c r="N215" s="112">
        <v>65600</v>
      </c>
      <c r="O215" s="112">
        <v>68901</v>
      </c>
      <c r="P215" s="112">
        <v>64589</v>
      </c>
      <c r="R215" s="111" t="s">
        <v>54</v>
      </c>
      <c r="S215" s="220">
        <v>5.3</v>
      </c>
      <c r="T215" s="220">
        <v>7.7</v>
      </c>
      <c r="U215" s="220">
        <v>6.5</v>
      </c>
      <c r="V215" s="220">
        <v>5.2</v>
      </c>
      <c r="W215" s="220">
        <v>5.9</v>
      </c>
      <c r="X215" s="220">
        <v>6.3</v>
      </c>
      <c r="Y215" s="220">
        <v>6.1</v>
      </c>
      <c r="Z215" s="220">
        <v>6.2</v>
      </c>
      <c r="AA215" s="220">
        <v>6.5</v>
      </c>
      <c r="AC215" s="111" t="s">
        <v>54</v>
      </c>
      <c r="AD215" s="112">
        <f t="shared" si="181"/>
        <v>7063.9459999999999</v>
      </c>
      <c r="AE215" s="112">
        <f t="shared" si="177"/>
        <v>8909.0540000000001</v>
      </c>
      <c r="AF215" s="112">
        <f t="shared" si="177"/>
        <v>7253.35</v>
      </c>
      <c r="AG215" s="112">
        <f t="shared" si="177"/>
        <v>7644.9359999999997</v>
      </c>
      <c r="AH215" s="112">
        <f t="shared" si="177"/>
        <v>8883.6299999999992</v>
      </c>
      <c r="AI215" s="112">
        <f t="shared" si="177"/>
        <v>10038.168</v>
      </c>
      <c r="AJ215" s="112">
        <f t="shared" si="177"/>
        <v>8003.2</v>
      </c>
      <c r="AK215" s="112">
        <f t="shared" si="177"/>
        <v>8543.7240000000002</v>
      </c>
      <c r="AL215" s="112">
        <f t="shared" si="177"/>
        <v>8396.57</v>
      </c>
      <c r="AN215" s="111" t="s">
        <v>54</v>
      </c>
      <c r="AO215" s="113">
        <f t="shared" ref="AO215:AW215" si="196">H215/H214</f>
        <v>0.28890690435521488</v>
      </c>
      <c r="AP215" s="113">
        <f t="shared" si="196"/>
        <v>0.23502813382355928</v>
      </c>
      <c r="AQ215" s="113">
        <f t="shared" si="196"/>
        <v>0.21679327025819362</v>
      </c>
      <c r="AR215" s="113">
        <f t="shared" si="196"/>
        <v>0.26994899139574086</v>
      </c>
      <c r="AS215" s="113">
        <f t="shared" si="196"/>
        <v>0.26641635761401922</v>
      </c>
      <c r="AT215" s="113">
        <f t="shared" si="196"/>
        <v>0.27899744704098395</v>
      </c>
      <c r="AU215" s="113">
        <f t="shared" si="196"/>
        <v>0.23281069225691511</v>
      </c>
      <c r="AV215" s="113">
        <f t="shared" si="196"/>
        <v>0.24464383357359448</v>
      </c>
      <c r="AW215" s="113">
        <f t="shared" si="196"/>
        <v>0.23469498989840265</v>
      </c>
      <c r="AY215" s="111" t="s">
        <v>54</v>
      </c>
      <c r="AZ215" s="179">
        <f t="shared" si="179"/>
        <v>3.0624131861652776E-2</v>
      </c>
      <c r="BA215" s="179">
        <f t="shared" si="179"/>
        <v>3.6194332608828129E-2</v>
      </c>
      <c r="BB215" s="179">
        <f t="shared" si="179"/>
        <v>2.8183125133565169E-2</v>
      </c>
      <c r="BC215" s="179">
        <f t="shared" si="179"/>
        <v>2.807469510515705E-2</v>
      </c>
      <c r="BD215" s="179">
        <f t="shared" si="179"/>
        <v>3.1437130198454268E-2</v>
      </c>
      <c r="BE215" s="179">
        <f t="shared" si="179"/>
        <v>3.5153678327163977E-2</v>
      </c>
      <c r="BF215" s="179">
        <f t="shared" si="179"/>
        <v>2.8402904455343641E-2</v>
      </c>
      <c r="BG215" s="179">
        <f t="shared" si="179"/>
        <v>3.0335835363125719E-2</v>
      </c>
      <c r="BH215" s="179">
        <f t="shared" si="179"/>
        <v>3.0510348686792345E-2</v>
      </c>
    </row>
    <row r="216" spans="2:68" s="108" customFormat="1" x14ac:dyDescent="0.25">
      <c r="B216" s="107"/>
      <c r="E216" s="109" t="s">
        <v>3</v>
      </c>
      <c r="F216" s="110" t="s">
        <v>61</v>
      </c>
      <c r="G216" s="111" t="s">
        <v>55</v>
      </c>
      <c r="H216" s="70">
        <v>90226</v>
      </c>
      <c r="I216" s="70">
        <v>100430</v>
      </c>
      <c r="J216" s="112">
        <v>105814</v>
      </c>
      <c r="K216" s="112">
        <v>103808</v>
      </c>
      <c r="L216" s="112">
        <v>109302</v>
      </c>
      <c r="M216" s="112">
        <v>103557</v>
      </c>
      <c r="N216" s="112">
        <v>107691</v>
      </c>
      <c r="O216" s="112">
        <v>97394</v>
      </c>
      <c r="P216" s="112">
        <v>93564</v>
      </c>
      <c r="R216" s="111" t="s">
        <v>55</v>
      </c>
      <c r="S216" s="81">
        <v>4.2</v>
      </c>
      <c r="T216" s="81">
        <v>4.7</v>
      </c>
      <c r="U216" s="81">
        <v>4.2</v>
      </c>
      <c r="V216" s="81">
        <v>4.2</v>
      </c>
      <c r="W216" s="81">
        <v>5.5</v>
      </c>
      <c r="X216" s="81">
        <v>5.8</v>
      </c>
      <c r="Y216" s="81">
        <v>5.4</v>
      </c>
      <c r="Z216" s="81">
        <v>4.8</v>
      </c>
      <c r="AA216" s="81">
        <v>4.8</v>
      </c>
      <c r="AC216" s="111" t="s">
        <v>55</v>
      </c>
      <c r="AD216" s="70">
        <f t="shared" si="181"/>
        <v>7578.9840000000004</v>
      </c>
      <c r="AE216" s="70">
        <f t="shared" si="177"/>
        <v>9440.42</v>
      </c>
      <c r="AF216" s="70">
        <f t="shared" si="177"/>
        <v>8888.3760000000002</v>
      </c>
      <c r="AG216" s="70">
        <f t="shared" si="177"/>
        <v>8719.8720000000012</v>
      </c>
      <c r="AH216" s="70">
        <f t="shared" si="177"/>
        <v>12023.22</v>
      </c>
      <c r="AI216" s="70">
        <f t="shared" si="177"/>
        <v>12012.611999999999</v>
      </c>
      <c r="AJ216" s="70">
        <f t="shared" si="177"/>
        <v>11630.628000000001</v>
      </c>
      <c r="AK216" s="70">
        <f t="shared" si="177"/>
        <v>9349.8240000000005</v>
      </c>
      <c r="AL216" s="70">
        <f t="shared" si="177"/>
        <v>8982.1440000000002</v>
      </c>
      <c r="AN216" s="111" t="s">
        <v>55</v>
      </c>
      <c r="AO216" s="113">
        <f t="shared" ref="AO216:AW216" si="197">H216/H214</f>
        <v>0.39115430969453668</v>
      </c>
      <c r="AP216" s="113">
        <f t="shared" si="197"/>
        <v>0.40801153791464378</v>
      </c>
      <c r="AQ216" s="113">
        <f t="shared" si="197"/>
        <v>0.41114370640918541</v>
      </c>
      <c r="AR216" s="113">
        <f t="shared" si="197"/>
        <v>0.38121678840426432</v>
      </c>
      <c r="AS216" s="113">
        <f t="shared" si="197"/>
        <v>0.38679472298502393</v>
      </c>
      <c r="AT216" s="113">
        <f t="shared" si="197"/>
        <v>0.36265675833738981</v>
      </c>
      <c r="AU216" s="113">
        <f t="shared" si="197"/>
        <v>0.38218927225365007</v>
      </c>
      <c r="AV216" s="113">
        <f t="shared" si="197"/>
        <v>0.34581270993260854</v>
      </c>
      <c r="AW216" s="113">
        <f t="shared" si="197"/>
        <v>0.33998052353890207</v>
      </c>
      <c r="AY216" s="111" t="s">
        <v>55</v>
      </c>
      <c r="AZ216" s="179">
        <f t="shared" si="179"/>
        <v>3.285696201434108E-2</v>
      </c>
      <c r="BA216" s="179">
        <f t="shared" si="179"/>
        <v>3.8353084563976514E-2</v>
      </c>
      <c r="BB216" s="179">
        <f t="shared" si="179"/>
        <v>3.4536071338371575E-2</v>
      </c>
      <c r="BC216" s="179">
        <f t="shared" si="179"/>
        <v>3.2022210225958206E-2</v>
      </c>
      <c r="BD216" s="179">
        <f t="shared" si="179"/>
        <v>4.2547419528352635E-2</v>
      </c>
      <c r="BE216" s="179">
        <f t="shared" si="179"/>
        <v>4.2068183967137213E-2</v>
      </c>
      <c r="BF216" s="179">
        <f t="shared" si="179"/>
        <v>4.1276441403394211E-2</v>
      </c>
      <c r="BG216" s="179">
        <f t="shared" si="179"/>
        <v>3.3198020153530419E-2</v>
      </c>
      <c r="BH216" s="179">
        <f t="shared" si="179"/>
        <v>3.2638130259734596E-2</v>
      </c>
    </row>
    <row r="217" spans="2:68" s="108" customFormat="1" x14ac:dyDescent="0.25">
      <c r="B217" s="107"/>
      <c r="E217" s="109" t="s">
        <v>3</v>
      </c>
      <c r="F217" s="110" t="s">
        <v>61</v>
      </c>
      <c r="G217" s="111" t="s">
        <v>130</v>
      </c>
      <c r="H217" s="70">
        <v>20621</v>
      </c>
      <c r="I217" s="70">
        <v>27729</v>
      </c>
      <c r="J217" s="70">
        <v>26054</v>
      </c>
      <c r="K217" s="70">
        <v>32802</v>
      </c>
      <c r="L217" s="70">
        <v>30504</v>
      </c>
      <c r="M217" s="70">
        <v>33540</v>
      </c>
      <c r="N217" s="70">
        <v>33527</v>
      </c>
      <c r="O217" s="112">
        <v>33472</v>
      </c>
      <c r="P217" s="112">
        <v>32750</v>
      </c>
      <c r="R217" s="111" t="s">
        <v>130</v>
      </c>
      <c r="S217" s="220">
        <v>10.7</v>
      </c>
      <c r="T217" s="220">
        <v>11.4</v>
      </c>
      <c r="U217" s="220">
        <v>10.3</v>
      </c>
      <c r="V217" s="220">
        <v>9.1</v>
      </c>
      <c r="W217" s="220">
        <v>10</v>
      </c>
      <c r="X217" s="220">
        <v>10.1</v>
      </c>
      <c r="Y217" s="220">
        <v>9.9</v>
      </c>
      <c r="Z217" s="220">
        <v>8.8000000000000007</v>
      </c>
      <c r="AA217" s="220">
        <v>9.6999999999999993</v>
      </c>
      <c r="AC217" s="111" t="s">
        <v>130</v>
      </c>
      <c r="AD217" s="70">
        <f t="shared" si="181"/>
        <v>4412.8939999999993</v>
      </c>
      <c r="AE217" s="70">
        <f t="shared" si="177"/>
        <v>6322.2120000000004</v>
      </c>
      <c r="AF217" s="70">
        <f t="shared" si="177"/>
        <v>5367.1239999999998</v>
      </c>
      <c r="AG217" s="70">
        <f t="shared" si="177"/>
        <v>5969.9639999999999</v>
      </c>
      <c r="AH217" s="70">
        <f t="shared" si="177"/>
        <v>6100.8</v>
      </c>
      <c r="AI217" s="70">
        <f t="shared" si="177"/>
        <v>6775.08</v>
      </c>
      <c r="AJ217" s="70">
        <f t="shared" si="177"/>
        <v>6638.3459999999995</v>
      </c>
      <c r="AK217" s="70">
        <f t="shared" si="177"/>
        <v>5891.072000000001</v>
      </c>
      <c r="AL217" s="70">
        <f t="shared" si="177"/>
        <v>6353.5</v>
      </c>
      <c r="AN217" s="111" t="s">
        <v>130</v>
      </c>
      <c r="AO217" s="113">
        <f t="shared" ref="AO217:AW217" si="198">H217/H214</f>
        <v>8.9397657218662482E-2</v>
      </c>
      <c r="AP217" s="113">
        <f t="shared" si="198"/>
        <v>0.11265311097117553</v>
      </c>
      <c r="AQ217" s="113">
        <f t="shared" si="198"/>
        <v>0.10123365648009636</v>
      </c>
      <c r="AR217" s="113">
        <f t="shared" si="198"/>
        <v>0.12045962828719056</v>
      </c>
      <c r="AS217" s="113">
        <f t="shared" si="198"/>
        <v>0.1079466636469156</v>
      </c>
      <c r="AT217" s="113">
        <f t="shared" si="198"/>
        <v>0.11745712674793644</v>
      </c>
      <c r="AU217" s="113">
        <f t="shared" si="198"/>
        <v>0.11898542803807306</v>
      </c>
      <c r="AV217" s="113">
        <f t="shared" si="198"/>
        <v>0.11884759869051761</v>
      </c>
      <c r="AW217" s="113">
        <f t="shared" si="198"/>
        <v>0.11900263077571548</v>
      </c>
      <c r="AY217" s="111" t="s">
        <v>130</v>
      </c>
      <c r="AZ217" s="179">
        <f t="shared" si="179"/>
        <v>1.913109864479377E-2</v>
      </c>
      <c r="BA217" s="179">
        <f t="shared" si="179"/>
        <v>2.568490930142802E-2</v>
      </c>
      <c r="BB217" s="179">
        <f t="shared" si="179"/>
        <v>2.085413323489985E-2</v>
      </c>
      <c r="BC217" s="179">
        <f t="shared" si="179"/>
        <v>2.1923652348268683E-2</v>
      </c>
      <c r="BD217" s="179">
        <f t="shared" si="179"/>
        <v>2.1589332729383123E-2</v>
      </c>
      <c r="BE217" s="179">
        <f t="shared" si="179"/>
        <v>2.3726339603083159E-2</v>
      </c>
      <c r="BF217" s="179">
        <f t="shared" si="179"/>
        <v>2.3559114751538469E-2</v>
      </c>
      <c r="BG217" s="179">
        <f t="shared" si="179"/>
        <v>2.0917177369531102E-2</v>
      </c>
      <c r="BH217" s="179">
        <f t="shared" si="179"/>
        <v>2.30865103704888E-2</v>
      </c>
    </row>
    <row r="218" spans="2:68" s="108" customFormat="1" x14ac:dyDescent="0.25">
      <c r="B218" s="107"/>
      <c r="E218" s="109" t="s">
        <v>3</v>
      </c>
      <c r="F218" s="110" t="s">
        <v>61</v>
      </c>
      <c r="G218" s="111" t="s">
        <v>131</v>
      </c>
      <c r="H218" s="112">
        <v>53178</v>
      </c>
      <c r="I218" s="112">
        <v>60135</v>
      </c>
      <c r="J218" s="112">
        <v>69703</v>
      </c>
      <c r="K218" s="112">
        <v>62011</v>
      </c>
      <c r="L218" s="112">
        <v>67493</v>
      </c>
      <c r="M218" s="112">
        <v>68786</v>
      </c>
      <c r="N218" s="112">
        <v>74956</v>
      </c>
      <c r="O218" s="112">
        <v>81871</v>
      </c>
      <c r="P218" s="112">
        <v>84301</v>
      </c>
      <c r="R218" s="111" t="s">
        <v>131</v>
      </c>
      <c r="S218" s="220">
        <v>6.6</v>
      </c>
      <c r="T218" s="220">
        <v>6.9</v>
      </c>
      <c r="U218" s="220">
        <v>6</v>
      </c>
      <c r="V218" s="220">
        <v>6</v>
      </c>
      <c r="W218" s="220">
        <v>6.6</v>
      </c>
      <c r="X218" s="220">
        <v>6.5</v>
      </c>
      <c r="Y218" s="220">
        <v>6.1</v>
      </c>
      <c r="Z218" s="220">
        <v>5.6</v>
      </c>
      <c r="AA218" s="220">
        <v>4.5999999999999996</v>
      </c>
      <c r="AC218" s="111" t="s">
        <v>131</v>
      </c>
      <c r="AD218" s="112">
        <f t="shared" si="181"/>
        <v>7019.4960000000001</v>
      </c>
      <c r="AE218" s="112">
        <f t="shared" si="177"/>
        <v>8298.6299999999992</v>
      </c>
      <c r="AF218" s="112">
        <f t="shared" si="177"/>
        <v>8364.36</v>
      </c>
      <c r="AG218" s="112">
        <f t="shared" si="177"/>
        <v>7441.32</v>
      </c>
      <c r="AH218" s="112">
        <f t="shared" si="177"/>
        <v>8909.0759999999991</v>
      </c>
      <c r="AI218" s="112">
        <f t="shared" si="177"/>
        <v>8942.18</v>
      </c>
      <c r="AJ218" s="112">
        <f t="shared" si="177"/>
        <v>9144.6319999999996</v>
      </c>
      <c r="AK218" s="112">
        <f t="shared" si="177"/>
        <v>9169.5519999999997</v>
      </c>
      <c r="AL218" s="112">
        <f t="shared" si="177"/>
        <v>7755.6919999999991</v>
      </c>
      <c r="AN218" s="111" t="s">
        <v>131</v>
      </c>
      <c r="AO218" s="113">
        <f t="shared" ref="AO218:AW218" si="199">H218/H214</f>
        <v>0.23054112873158594</v>
      </c>
      <c r="AP218" s="113">
        <f t="shared" si="199"/>
        <v>0.24430721729062138</v>
      </c>
      <c r="AQ218" s="113">
        <f t="shared" si="199"/>
        <v>0.27083325238474543</v>
      </c>
      <c r="AR218" s="113">
        <f t="shared" si="199"/>
        <v>0.22772459026025774</v>
      </c>
      <c r="AS218" s="113">
        <f t="shared" si="199"/>
        <v>0.23884225575404128</v>
      </c>
      <c r="AT218" s="113">
        <f t="shared" si="199"/>
        <v>0.24088866787368982</v>
      </c>
      <c r="AU218" s="113">
        <f t="shared" si="199"/>
        <v>0.26601460745136174</v>
      </c>
      <c r="AV218" s="113">
        <f t="shared" si="199"/>
        <v>0.29069585780327939</v>
      </c>
      <c r="AW218" s="113">
        <f t="shared" si="199"/>
        <v>0.30632185578697985</v>
      </c>
      <c r="AY218" s="111" t="s">
        <v>131</v>
      </c>
      <c r="AZ218" s="179">
        <f t="shared" si="179"/>
        <v>3.0431428992569343E-2</v>
      </c>
      <c r="BA218" s="179">
        <f t="shared" si="179"/>
        <v>3.3714395986105754E-2</v>
      </c>
      <c r="BB218" s="179">
        <f t="shared" si="179"/>
        <v>3.2499990286169449E-2</v>
      </c>
      <c r="BC218" s="179">
        <f t="shared" si="179"/>
        <v>2.732695083123093E-2</v>
      </c>
      <c r="BD218" s="179">
        <f t="shared" si="179"/>
        <v>3.1527177759533447E-2</v>
      </c>
      <c r="BE218" s="179">
        <f t="shared" si="179"/>
        <v>3.1315526823579673E-2</v>
      </c>
      <c r="BF218" s="179">
        <f t="shared" si="179"/>
        <v>3.2453782109066132E-2</v>
      </c>
      <c r="BG218" s="179">
        <f t="shared" si="179"/>
        <v>3.2557936073967293E-2</v>
      </c>
      <c r="BH218" s="179">
        <f t="shared" si="179"/>
        <v>2.8181610732402142E-2</v>
      </c>
    </row>
    <row r="219" spans="2:68" s="87" customFormat="1" x14ac:dyDescent="0.25">
      <c r="B219" s="84"/>
      <c r="C219" s="85"/>
      <c r="D219" s="85"/>
      <c r="E219" s="109" t="s">
        <v>45</v>
      </c>
      <c r="F219" s="110" t="s">
        <v>61</v>
      </c>
      <c r="G219" s="195" t="s">
        <v>7</v>
      </c>
      <c r="H219" s="69">
        <v>117581</v>
      </c>
      <c r="I219" s="69">
        <v>120146</v>
      </c>
      <c r="J219" s="69">
        <v>125165</v>
      </c>
      <c r="K219" s="69">
        <v>132071</v>
      </c>
      <c r="L219" s="69">
        <v>139700</v>
      </c>
      <c r="M219" s="69">
        <v>150867</v>
      </c>
      <c r="N219" s="69">
        <v>161658</v>
      </c>
      <c r="O219" s="69">
        <v>172501</v>
      </c>
      <c r="P219" s="69">
        <v>182364</v>
      </c>
      <c r="R219" s="195" t="s">
        <v>7</v>
      </c>
      <c r="S219" s="226">
        <v>1.4</v>
      </c>
      <c r="T219" s="226">
        <v>1.7</v>
      </c>
      <c r="U219" s="226">
        <v>1.5</v>
      </c>
      <c r="V219" s="226">
        <v>1.7</v>
      </c>
      <c r="W219" s="226">
        <v>1.7</v>
      </c>
      <c r="X219" s="226">
        <v>1.6</v>
      </c>
      <c r="Y219" s="226">
        <v>1.3</v>
      </c>
      <c r="Z219" s="226">
        <v>1.8</v>
      </c>
      <c r="AA219" s="226">
        <v>1.5</v>
      </c>
      <c r="AC219" s="195" t="s">
        <v>7</v>
      </c>
      <c r="AD219" s="69">
        <f t="shared" si="181"/>
        <v>3292.268</v>
      </c>
      <c r="AE219" s="69">
        <f t="shared" si="177"/>
        <v>4084.9639999999995</v>
      </c>
      <c r="AF219" s="69">
        <f t="shared" si="177"/>
        <v>3754.95</v>
      </c>
      <c r="AG219" s="69">
        <f t="shared" si="177"/>
        <v>4490.4139999999998</v>
      </c>
      <c r="AH219" s="69">
        <f t="shared" si="177"/>
        <v>4749.8</v>
      </c>
      <c r="AI219" s="69">
        <f t="shared" si="177"/>
        <v>4827.7440000000006</v>
      </c>
      <c r="AJ219" s="69">
        <f t="shared" si="177"/>
        <v>4203.1080000000002</v>
      </c>
      <c r="AK219" s="69">
        <f t="shared" si="177"/>
        <v>6210.0360000000001</v>
      </c>
      <c r="AL219" s="69">
        <f t="shared" si="177"/>
        <v>5470.92</v>
      </c>
      <c r="AN219" s="195" t="s">
        <v>7</v>
      </c>
      <c r="AO219" s="98">
        <f t="shared" ref="AO219:AW219" si="200">H219/H219</f>
        <v>1</v>
      </c>
      <c r="AP219" s="98">
        <f t="shared" si="200"/>
        <v>1</v>
      </c>
      <c r="AQ219" s="98">
        <f t="shared" si="200"/>
        <v>1</v>
      </c>
      <c r="AR219" s="98">
        <f t="shared" si="200"/>
        <v>1</v>
      </c>
      <c r="AS219" s="98">
        <f t="shared" si="200"/>
        <v>1</v>
      </c>
      <c r="AT219" s="98">
        <f t="shared" si="200"/>
        <v>1</v>
      </c>
      <c r="AU219" s="98">
        <f t="shared" si="200"/>
        <v>1</v>
      </c>
      <c r="AV219" s="98">
        <f t="shared" si="200"/>
        <v>1</v>
      </c>
      <c r="AW219" s="98">
        <f t="shared" si="200"/>
        <v>1</v>
      </c>
      <c r="AX219" s="191"/>
      <c r="AY219" s="195" t="s">
        <v>7</v>
      </c>
      <c r="AZ219" s="178">
        <f t="shared" si="179"/>
        <v>2.7999999999999997E-2</v>
      </c>
      <c r="BA219" s="178">
        <f t="shared" si="179"/>
        <v>3.4000000000000002E-2</v>
      </c>
      <c r="BB219" s="178">
        <f t="shared" si="179"/>
        <v>0.03</v>
      </c>
      <c r="BC219" s="178">
        <f t="shared" si="179"/>
        <v>3.4000000000000002E-2</v>
      </c>
      <c r="BD219" s="178">
        <f t="shared" si="179"/>
        <v>3.4000000000000002E-2</v>
      </c>
      <c r="BE219" s="178">
        <f t="shared" si="179"/>
        <v>3.2000000000000001E-2</v>
      </c>
      <c r="BF219" s="178">
        <f t="shared" si="179"/>
        <v>2.6000000000000002E-2</v>
      </c>
      <c r="BG219" s="178">
        <f t="shared" si="179"/>
        <v>3.6000000000000004E-2</v>
      </c>
      <c r="BH219" s="178">
        <f t="shared" si="179"/>
        <v>0.03</v>
      </c>
      <c r="BI219" s="191"/>
      <c r="BJ219" s="191"/>
      <c r="BK219" s="191"/>
      <c r="BL219" s="191"/>
      <c r="BM219" s="191"/>
      <c r="BN219" s="191"/>
      <c r="BO219" s="191"/>
      <c r="BP219" s="191"/>
    </row>
    <row r="220" spans="2:68" s="108" customFormat="1" x14ac:dyDescent="0.25">
      <c r="B220" s="107"/>
      <c r="E220" s="109" t="s">
        <v>45</v>
      </c>
      <c r="F220" s="110" t="s">
        <v>61</v>
      </c>
      <c r="G220" s="111" t="s">
        <v>54</v>
      </c>
      <c r="H220" s="112">
        <v>16823</v>
      </c>
      <c r="I220" s="112">
        <v>10865</v>
      </c>
      <c r="J220" s="112">
        <v>15297</v>
      </c>
      <c r="K220" s="112">
        <v>14872</v>
      </c>
      <c r="L220" s="112">
        <v>18955</v>
      </c>
      <c r="M220" s="112">
        <v>16555</v>
      </c>
      <c r="N220" s="112">
        <v>16836</v>
      </c>
      <c r="O220" s="112">
        <v>18959</v>
      </c>
      <c r="P220" s="112">
        <v>18352</v>
      </c>
      <c r="R220" s="111" t="s">
        <v>54</v>
      </c>
      <c r="S220" s="220">
        <v>11.7</v>
      </c>
      <c r="T220" s="220">
        <v>18.5</v>
      </c>
      <c r="U220" s="220">
        <v>13.3</v>
      </c>
      <c r="V220" s="220">
        <v>13.3</v>
      </c>
      <c r="W220" s="220">
        <v>13.2</v>
      </c>
      <c r="X220" s="220">
        <v>15</v>
      </c>
      <c r="Y220" s="220">
        <v>13.5</v>
      </c>
      <c r="Z220" s="220">
        <v>12.9</v>
      </c>
      <c r="AA220" s="220">
        <v>12.6</v>
      </c>
      <c r="AC220" s="111" t="s">
        <v>54</v>
      </c>
      <c r="AD220" s="112">
        <f t="shared" si="181"/>
        <v>3936.5819999999994</v>
      </c>
      <c r="AE220" s="112">
        <f t="shared" si="177"/>
        <v>4020.05</v>
      </c>
      <c r="AF220" s="112">
        <f t="shared" si="177"/>
        <v>4069.002</v>
      </c>
      <c r="AG220" s="112">
        <f t="shared" si="177"/>
        <v>3955.9520000000002</v>
      </c>
      <c r="AH220" s="112">
        <f t="shared" si="177"/>
        <v>5004.12</v>
      </c>
      <c r="AI220" s="112">
        <f t="shared" si="177"/>
        <v>4966.5</v>
      </c>
      <c r="AJ220" s="112">
        <f t="shared" si="177"/>
        <v>4545.72</v>
      </c>
      <c r="AK220" s="112">
        <f t="shared" si="177"/>
        <v>4891.4220000000005</v>
      </c>
      <c r="AL220" s="112">
        <f t="shared" si="177"/>
        <v>4624.7039999999997</v>
      </c>
      <c r="AN220" s="111" t="s">
        <v>54</v>
      </c>
      <c r="AO220" s="113">
        <f t="shared" ref="AO220:AW220" si="201">H220/H219</f>
        <v>0.14307583708252183</v>
      </c>
      <c r="AP220" s="113">
        <f t="shared" si="201"/>
        <v>9.0431641502838209E-2</v>
      </c>
      <c r="AQ220" s="113">
        <f t="shared" si="201"/>
        <v>0.12221467662685255</v>
      </c>
      <c r="AR220" s="113">
        <f t="shared" si="201"/>
        <v>0.11260609823504024</v>
      </c>
      <c r="AS220" s="113">
        <f t="shared" si="201"/>
        <v>0.13568360773085184</v>
      </c>
      <c r="AT220" s="113">
        <f t="shared" si="201"/>
        <v>0.10973241331769042</v>
      </c>
      <c r="AU220" s="113">
        <f t="shared" si="201"/>
        <v>0.10414578925880563</v>
      </c>
      <c r="AV220" s="113">
        <f t="shared" si="201"/>
        <v>0.1099066092370479</v>
      </c>
      <c r="AW220" s="113">
        <f t="shared" si="201"/>
        <v>0.10063389704108266</v>
      </c>
      <c r="AY220" s="111" t="s">
        <v>54</v>
      </c>
      <c r="AZ220" s="179">
        <f t="shared" si="179"/>
        <v>3.3479745877310105E-2</v>
      </c>
      <c r="BA220" s="179">
        <f t="shared" si="179"/>
        <v>3.3459707356050139E-2</v>
      </c>
      <c r="BB220" s="179">
        <f t="shared" si="179"/>
        <v>3.2509103982742781E-2</v>
      </c>
      <c r="BC220" s="179">
        <f t="shared" si="179"/>
        <v>2.9953222130520703E-2</v>
      </c>
      <c r="BD220" s="179">
        <f t="shared" si="179"/>
        <v>3.5820472440944884E-2</v>
      </c>
      <c r="BE220" s="179">
        <f t="shared" si="179"/>
        <v>3.2919723995307126E-2</v>
      </c>
      <c r="BF220" s="179">
        <f t="shared" si="179"/>
        <v>2.8119363099877521E-2</v>
      </c>
      <c r="BG220" s="179">
        <f t="shared" si="179"/>
        <v>2.8355905183158357E-2</v>
      </c>
      <c r="BH220" s="179">
        <f t="shared" si="179"/>
        <v>2.5359742054352829E-2</v>
      </c>
    </row>
    <row r="221" spans="2:68" s="108" customFormat="1" x14ac:dyDescent="0.25">
      <c r="B221" s="107"/>
      <c r="E221" s="109" t="s">
        <v>45</v>
      </c>
      <c r="F221" s="110" t="s">
        <v>61</v>
      </c>
      <c r="G221" s="111" t="s">
        <v>55</v>
      </c>
      <c r="H221" s="70">
        <v>50387</v>
      </c>
      <c r="I221" s="70">
        <v>58941</v>
      </c>
      <c r="J221" s="70">
        <v>62493</v>
      </c>
      <c r="K221" s="70">
        <v>60466</v>
      </c>
      <c r="L221" s="70">
        <v>68710</v>
      </c>
      <c r="M221" s="70">
        <v>74051</v>
      </c>
      <c r="N221" s="70">
        <v>77108</v>
      </c>
      <c r="O221" s="112">
        <v>80667</v>
      </c>
      <c r="P221" s="112">
        <v>89936</v>
      </c>
      <c r="R221" s="111" t="s">
        <v>55</v>
      </c>
      <c r="S221" s="81">
        <v>5.4</v>
      </c>
      <c r="T221" s="81">
        <v>6.3</v>
      </c>
      <c r="U221" s="81">
        <v>5.4</v>
      </c>
      <c r="V221" s="81">
        <v>5</v>
      </c>
      <c r="W221" s="81">
        <v>5.7</v>
      </c>
      <c r="X221" s="81">
        <v>5.8</v>
      </c>
      <c r="Y221" s="81">
        <v>4.9000000000000004</v>
      </c>
      <c r="Z221" s="81">
        <v>5</v>
      </c>
      <c r="AA221" s="81">
        <v>4.5999999999999996</v>
      </c>
      <c r="AC221" s="111" t="s">
        <v>55</v>
      </c>
      <c r="AD221" s="70">
        <f t="shared" si="181"/>
        <v>5441.7960000000012</v>
      </c>
      <c r="AE221" s="70">
        <f t="shared" si="177"/>
        <v>7426.5659999999998</v>
      </c>
      <c r="AF221" s="70">
        <f t="shared" si="177"/>
        <v>6749.2440000000006</v>
      </c>
      <c r="AG221" s="70">
        <f t="shared" si="177"/>
        <v>6046.6</v>
      </c>
      <c r="AH221" s="70">
        <f t="shared" si="177"/>
        <v>7832.94</v>
      </c>
      <c r="AI221" s="70">
        <f t="shared" si="177"/>
        <v>8589.9159999999993</v>
      </c>
      <c r="AJ221" s="70">
        <f t="shared" si="177"/>
        <v>7556.5839999999998</v>
      </c>
      <c r="AK221" s="70">
        <f t="shared" si="177"/>
        <v>8066.7</v>
      </c>
      <c r="AL221" s="70">
        <f t="shared" si="177"/>
        <v>8274.1119999999992</v>
      </c>
      <c r="AN221" s="111" t="s">
        <v>55</v>
      </c>
      <c r="AO221" s="113">
        <f t="shared" ref="AO221:AW221" si="202">H221/H219</f>
        <v>0.42853011966219035</v>
      </c>
      <c r="AP221" s="113">
        <f t="shared" si="202"/>
        <v>0.49057812994190403</v>
      </c>
      <c r="AQ221" s="113">
        <f t="shared" si="202"/>
        <v>0.49928494387408623</v>
      </c>
      <c r="AR221" s="113">
        <f t="shared" si="202"/>
        <v>0.45782950079881274</v>
      </c>
      <c r="AS221" s="113">
        <f t="shared" si="202"/>
        <v>0.49183965640658556</v>
      </c>
      <c r="AT221" s="113">
        <f t="shared" si="202"/>
        <v>0.49083629952209562</v>
      </c>
      <c r="AU221" s="113">
        <f t="shared" si="202"/>
        <v>0.47698227121453934</v>
      </c>
      <c r="AV221" s="113">
        <f t="shared" si="202"/>
        <v>0.46763207169813509</v>
      </c>
      <c r="AW221" s="113">
        <f t="shared" si="202"/>
        <v>0.49316751113158297</v>
      </c>
      <c r="AY221" s="111" t="s">
        <v>55</v>
      </c>
      <c r="AZ221" s="179">
        <f t="shared" si="179"/>
        <v>4.6281252923516557E-2</v>
      </c>
      <c r="BA221" s="179">
        <f t="shared" si="179"/>
        <v>6.1812844372679907E-2</v>
      </c>
      <c r="BB221" s="179">
        <f t="shared" si="179"/>
        <v>5.3922773938401322E-2</v>
      </c>
      <c r="BC221" s="179">
        <f t="shared" si="179"/>
        <v>4.5782950079881271E-2</v>
      </c>
      <c r="BD221" s="179">
        <f t="shared" si="179"/>
        <v>5.6069720830350757E-2</v>
      </c>
      <c r="BE221" s="179">
        <f t="shared" si="179"/>
        <v>5.6937010744563095E-2</v>
      </c>
      <c r="BF221" s="179">
        <f t="shared" si="179"/>
        <v>4.6744262579024858E-2</v>
      </c>
      <c r="BG221" s="179">
        <f t="shared" si="179"/>
        <v>4.6763207169813512E-2</v>
      </c>
      <c r="BH221" s="179">
        <f t="shared" si="179"/>
        <v>4.5371411024105628E-2</v>
      </c>
    </row>
    <row r="222" spans="2:68" s="108" customFormat="1" x14ac:dyDescent="0.25">
      <c r="B222" s="107"/>
      <c r="E222" s="109" t="s">
        <v>45</v>
      </c>
      <c r="F222" s="110" t="s">
        <v>61</v>
      </c>
      <c r="G222" s="111" t="s">
        <v>130</v>
      </c>
      <c r="H222" s="70">
        <v>8482</v>
      </c>
      <c r="I222" s="70">
        <v>13535</v>
      </c>
      <c r="J222" s="70">
        <v>10145</v>
      </c>
      <c r="K222" s="70">
        <v>15662</v>
      </c>
      <c r="L222" s="70">
        <v>12637</v>
      </c>
      <c r="M222" s="70">
        <v>17917</v>
      </c>
      <c r="N222" s="70">
        <v>18479</v>
      </c>
      <c r="O222" s="112">
        <v>21916</v>
      </c>
      <c r="P222" s="112">
        <v>18885</v>
      </c>
      <c r="R222" s="111" t="s">
        <v>130</v>
      </c>
      <c r="S222" s="220">
        <v>16.899999999999999</v>
      </c>
      <c r="T222" s="220">
        <v>15.8</v>
      </c>
      <c r="U222" s="220">
        <v>16.7</v>
      </c>
      <c r="V222" s="220">
        <v>12.8</v>
      </c>
      <c r="W222" s="220">
        <v>16.7</v>
      </c>
      <c r="X222" s="220">
        <v>14.5</v>
      </c>
      <c r="Y222" s="220">
        <v>12.8</v>
      </c>
      <c r="Z222" s="220">
        <v>11.9</v>
      </c>
      <c r="AA222" s="220">
        <v>12.6</v>
      </c>
      <c r="AC222" s="111" t="s">
        <v>130</v>
      </c>
      <c r="AD222" s="70">
        <f t="shared" si="181"/>
        <v>2866.9159999999997</v>
      </c>
      <c r="AE222" s="70">
        <f t="shared" si="177"/>
        <v>4277.0600000000004</v>
      </c>
      <c r="AF222" s="70">
        <f t="shared" si="177"/>
        <v>3388.43</v>
      </c>
      <c r="AG222" s="70">
        <f t="shared" si="177"/>
        <v>4009.4720000000002</v>
      </c>
      <c r="AH222" s="70">
        <f t="shared" si="177"/>
        <v>4220.7579999999998</v>
      </c>
      <c r="AI222" s="70">
        <f t="shared" si="177"/>
        <v>5195.93</v>
      </c>
      <c r="AJ222" s="70">
        <f t="shared" si="177"/>
        <v>4730.6239999999998</v>
      </c>
      <c r="AK222" s="70">
        <f t="shared" si="177"/>
        <v>5216.0079999999998</v>
      </c>
      <c r="AL222" s="70">
        <f t="shared" si="177"/>
        <v>4759.0200000000004</v>
      </c>
      <c r="AN222" s="111" t="s">
        <v>130</v>
      </c>
      <c r="AO222" s="113">
        <f t="shared" ref="AO222:AW222" si="203">H222/H219</f>
        <v>7.2137505209174946E-2</v>
      </c>
      <c r="AP222" s="113">
        <f t="shared" si="203"/>
        <v>0.11265460356566177</v>
      </c>
      <c r="AQ222" s="113">
        <f t="shared" si="203"/>
        <v>8.1053010026764669E-2</v>
      </c>
      <c r="AR222" s="113">
        <f t="shared" si="203"/>
        <v>0.11858772932740723</v>
      </c>
      <c r="AS222" s="113">
        <f t="shared" si="203"/>
        <v>9.0458124552612748E-2</v>
      </c>
      <c r="AT222" s="113">
        <f t="shared" si="203"/>
        <v>0.11876023252268554</v>
      </c>
      <c r="AU222" s="113">
        <f t="shared" si="203"/>
        <v>0.11430922070049115</v>
      </c>
      <c r="AV222" s="113">
        <f t="shared" si="203"/>
        <v>0.12704853884905015</v>
      </c>
      <c r="AW222" s="113">
        <f t="shared" si="203"/>
        <v>0.10355662301770086</v>
      </c>
      <c r="AY222" s="111" t="s">
        <v>130</v>
      </c>
      <c r="AZ222" s="179">
        <f t="shared" si="179"/>
        <v>2.4382476760701127E-2</v>
      </c>
      <c r="BA222" s="179">
        <f t="shared" si="179"/>
        <v>3.5598854726749118E-2</v>
      </c>
      <c r="BB222" s="179">
        <f t="shared" si="179"/>
        <v>2.70717053489394E-2</v>
      </c>
      <c r="BC222" s="179">
        <f t="shared" si="179"/>
        <v>3.0358458707816251E-2</v>
      </c>
      <c r="BD222" s="179">
        <f t="shared" si="179"/>
        <v>3.0213013600572654E-2</v>
      </c>
      <c r="BE222" s="179">
        <f t="shared" si="179"/>
        <v>3.444046743157881E-2</v>
      </c>
      <c r="BF222" s="179">
        <f t="shared" si="179"/>
        <v>2.9263160499325737E-2</v>
      </c>
      <c r="BG222" s="179">
        <f t="shared" si="179"/>
        <v>3.0237552246073936E-2</v>
      </c>
      <c r="BH222" s="179">
        <f t="shared" si="179"/>
        <v>2.6096269000460616E-2</v>
      </c>
    </row>
    <row r="223" spans="2:68" s="108" customFormat="1" x14ac:dyDescent="0.25">
      <c r="B223" s="107"/>
      <c r="E223" s="109" t="s">
        <v>45</v>
      </c>
      <c r="F223" s="110" t="s">
        <v>61</v>
      </c>
      <c r="G223" s="111" t="s">
        <v>131</v>
      </c>
      <c r="H223" s="112">
        <v>41889</v>
      </c>
      <c r="I223" s="112">
        <v>36682</v>
      </c>
      <c r="J223" s="112">
        <v>37231</v>
      </c>
      <c r="K223" s="112">
        <v>40728</v>
      </c>
      <c r="L223" s="112">
        <v>39398</v>
      </c>
      <c r="M223" s="112">
        <v>42343</v>
      </c>
      <c r="N223" s="112">
        <v>49234</v>
      </c>
      <c r="O223" s="112">
        <v>50959</v>
      </c>
      <c r="P223" s="112">
        <v>55191</v>
      </c>
      <c r="R223" s="111" t="s">
        <v>131</v>
      </c>
      <c r="S223" s="220">
        <v>7.4</v>
      </c>
      <c r="T223" s="220">
        <v>8.5</v>
      </c>
      <c r="U223" s="220">
        <v>7.7</v>
      </c>
      <c r="V223" s="220">
        <v>6.9</v>
      </c>
      <c r="W223" s="220">
        <v>8.6999999999999993</v>
      </c>
      <c r="X223" s="220">
        <v>8.6</v>
      </c>
      <c r="Y223" s="220">
        <v>6.8</v>
      </c>
      <c r="Z223" s="220">
        <v>6.8</v>
      </c>
      <c r="AA223" s="220">
        <v>6.3</v>
      </c>
      <c r="AC223" s="111" t="s">
        <v>131</v>
      </c>
      <c r="AD223" s="112">
        <f t="shared" si="181"/>
        <v>6199.572000000001</v>
      </c>
      <c r="AE223" s="112">
        <f t="shared" si="177"/>
        <v>6235.94</v>
      </c>
      <c r="AF223" s="112">
        <f t="shared" si="177"/>
        <v>5733.5740000000005</v>
      </c>
      <c r="AG223" s="112">
        <f t="shared" si="177"/>
        <v>5620.4639999999999</v>
      </c>
      <c r="AH223" s="112">
        <f t="shared" si="177"/>
        <v>6855.2519999999995</v>
      </c>
      <c r="AI223" s="112">
        <f t="shared" si="177"/>
        <v>7282.9960000000001</v>
      </c>
      <c r="AJ223" s="112">
        <f t="shared" si="177"/>
        <v>6695.8240000000005</v>
      </c>
      <c r="AK223" s="112">
        <f t="shared" si="177"/>
        <v>6930.424</v>
      </c>
      <c r="AL223" s="112">
        <f t="shared" si="177"/>
        <v>6954.0659999999998</v>
      </c>
      <c r="AN223" s="111" t="s">
        <v>131</v>
      </c>
      <c r="AO223" s="113">
        <f t="shared" ref="AO223:AW223" si="204">H223/H219</f>
        <v>0.3562565380461129</v>
      </c>
      <c r="AP223" s="113">
        <f t="shared" si="204"/>
        <v>0.30531187055748837</v>
      </c>
      <c r="AQ223" s="113">
        <f t="shared" si="204"/>
        <v>0.29745535892621738</v>
      </c>
      <c r="AR223" s="113">
        <f t="shared" si="204"/>
        <v>0.30837958370876273</v>
      </c>
      <c r="AS223" s="113">
        <f t="shared" si="204"/>
        <v>0.28201861130994987</v>
      </c>
      <c r="AT223" s="113">
        <f t="shared" si="204"/>
        <v>0.28066442628275234</v>
      </c>
      <c r="AU223" s="113">
        <f t="shared" si="204"/>
        <v>0.30455653292753837</v>
      </c>
      <c r="AV223" s="113">
        <f t="shared" si="204"/>
        <v>0.29541278021576689</v>
      </c>
      <c r="AW223" s="113">
        <f t="shared" si="204"/>
        <v>0.30264196880963345</v>
      </c>
      <c r="AY223" s="111" t="s">
        <v>131</v>
      </c>
      <c r="AZ223" s="179">
        <f t="shared" si="179"/>
        <v>5.272596763082471E-2</v>
      </c>
      <c r="BA223" s="179">
        <f t="shared" si="179"/>
        <v>5.1903017994773017E-2</v>
      </c>
      <c r="BB223" s="179">
        <f t="shared" si="179"/>
        <v>4.5808125274637485E-2</v>
      </c>
      <c r="BC223" s="179">
        <f t="shared" si="179"/>
        <v>4.2556382551809255E-2</v>
      </c>
      <c r="BD223" s="179">
        <f t="shared" si="179"/>
        <v>4.9071238367931279E-2</v>
      </c>
      <c r="BE223" s="179">
        <f t="shared" si="179"/>
        <v>4.8274281320633404E-2</v>
      </c>
      <c r="BF223" s="179">
        <f t="shared" si="179"/>
        <v>4.1419688478145221E-2</v>
      </c>
      <c r="BG223" s="179">
        <f t="shared" si="179"/>
        <v>4.0176138109344298E-2</v>
      </c>
      <c r="BH223" s="179">
        <f t="shared" si="179"/>
        <v>3.8132888070013811E-2</v>
      </c>
    </row>
    <row r="224" spans="2:68" s="87" customFormat="1" x14ac:dyDescent="0.25">
      <c r="B224" s="84"/>
      <c r="C224" s="85"/>
      <c r="D224" s="85"/>
      <c r="E224" s="109" t="s">
        <v>46</v>
      </c>
      <c r="F224" s="110" t="s">
        <v>61</v>
      </c>
      <c r="G224" s="195" t="s">
        <v>7</v>
      </c>
      <c r="H224" s="69">
        <v>787971</v>
      </c>
      <c r="I224" s="69">
        <v>797600</v>
      </c>
      <c r="J224" s="69">
        <v>795985</v>
      </c>
      <c r="K224" s="69">
        <v>798949</v>
      </c>
      <c r="L224" s="69">
        <v>805938</v>
      </c>
      <c r="M224" s="69">
        <v>809019</v>
      </c>
      <c r="N224" s="69">
        <v>810033</v>
      </c>
      <c r="O224" s="69">
        <v>809968</v>
      </c>
      <c r="P224" s="69">
        <v>816464</v>
      </c>
      <c r="R224" s="195" t="s">
        <v>7</v>
      </c>
      <c r="S224" s="226">
        <v>0.7</v>
      </c>
      <c r="T224" s="226">
        <v>0.9</v>
      </c>
      <c r="U224" s="226">
        <v>0.8</v>
      </c>
      <c r="V224" s="226">
        <v>0.7</v>
      </c>
      <c r="W224" s="226">
        <v>0.8</v>
      </c>
      <c r="X224" s="226">
        <v>0.9</v>
      </c>
      <c r="Y224" s="226">
        <v>0.8</v>
      </c>
      <c r="Z224" s="226">
        <v>0.8</v>
      </c>
      <c r="AA224" s="226">
        <v>0.8</v>
      </c>
      <c r="AC224" s="195" t="s">
        <v>7</v>
      </c>
      <c r="AD224" s="69">
        <f t="shared" si="181"/>
        <v>11031.593999999999</v>
      </c>
      <c r="AE224" s="69">
        <f t="shared" si="177"/>
        <v>14356.8</v>
      </c>
      <c r="AF224" s="69">
        <f t="shared" si="177"/>
        <v>12735.76</v>
      </c>
      <c r="AG224" s="69">
        <f t="shared" si="177"/>
        <v>11185.285999999998</v>
      </c>
      <c r="AH224" s="69">
        <f t="shared" si="177"/>
        <v>12895.008</v>
      </c>
      <c r="AI224" s="69">
        <f t="shared" si="177"/>
        <v>14562.341999999999</v>
      </c>
      <c r="AJ224" s="69">
        <f t="shared" si="177"/>
        <v>12960.528</v>
      </c>
      <c r="AK224" s="69">
        <f t="shared" si="177"/>
        <v>12959.488000000001</v>
      </c>
      <c r="AL224" s="69">
        <f t="shared" si="177"/>
        <v>13063.424000000001</v>
      </c>
      <c r="AN224" s="195" t="s">
        <v>7</v>
      </c>
      <c r="AO224" s="98">
        <f t="shared" ref="AO224:AW224" si="205">H224/H224</f>
        <v>1</v>
      </c>
      <c r="AP224" s="98">
        <f t="shared" si="205"/>
        <v>1</v>
      </c>
      <c r="AQ224" s="98">
        <f t="shared" si="205"/>
        <v>1</v>
      </c>
      <c r="AR224" s="98">
        <f t="shared" si="205"/>
        <v>1</v>
      </c>
      <c r="AS224" s="98">
        <f t="shared" si="205"/>
        <v>1</v>
      </c>
      <c r="AT224" s="98">
        <f t="shared" si="205"/>
        <v>1</v>
      </c>
      <c r="AU224" s="98">
        <f t="shared" si="205"/>
        <v>1</v>
      </c>
      <c r="AV224" s="98">
        <f t="shared" si="205"/>
        <v>1</v>
      </c>
      <c r="AW224" s="98">
        <f t="shared" si="205"/>
        <v>1</v>
      </c>
      <c r="AX224" s="191"/>
      <c r="AY224" s="195" t="s">
        <v>7</v>
      </c>
      <c r="AZ224" s="178">
        <f t="shared" si="179"/>
        <v>1.3999999999999999E-2</v>
      </c>
      <c r="BA224" s="178">
        <f t="shared" si="179"/>
        <v>1.8000000000000002E-2</v>
      </c>
      <c r="BB224" s="178">
        <f t="shared" si="179"/>
        <v>1.6E-2</v>
      </c>
      <c r="BC224" s="178">
        <f t="shared" si="179"/>
        <v>1.3999999999999999E-2</v>
      </c>
      <c r="BD224" s="178">
        <f t="shared" si="179"/>
        <v>1.6E-2</v>
      </c>
      <c r="BE224" s="178">
        <f t="shared" si="179"/>
        <v>1.8000000000000002E-2</v>
      </c>
      <c r="BF224" s="178">
        <f t="shared" si="179"/>
        <v>1.6E-2</v>
      </c>
      <c r="BG224" s="178">
        <f t="shared" si="179"/>
        <v>1.6E-2</v>
      </c>
      <c r="BH224" s="178">
        <f t="shared" si="179"/>
        <v>1.6E-2</v>
      </c>
      <c r="BI224" s="191"/>
      <c r="BJ224" s="191"/>
      <c r="BK224" s="191"/>
      <c r="BL224" s="191"/>
      <c r="BM224" s="191"/>
      <c r="BN224" s="191"/>
      <c r="BO224" s="191"/>
      <c r="BP224" s="191"/>
    </row>
    <row r="225" spans="2:68" s="108" customFormat="1" x14ac:dyDescent="0.25">
      <c r="B225" s="107"/>
      <c r="E225" s="109" t="s">
        <v>46</v>
      </c>
      <c r="F225" s="110" t="s">
        <v>61</v>
      </c>
      <c r="G225" s="111" t="s">
        <v>54</v>
      </c>
      <c r="H225" s="112">
        <v>222299</v>
      </c>
      <c r="I225" s="112">
        <v>187610</v>
      </c>
      <c r="J225" s="112">
        <v>180177</v>
      </c>
      <c r="K225" s="112">
        <v>191524</v>
      </c>
      <c r="L225" s="112">
        <v>186683</v>
      </c>
      <c r="M225" s="112">
        <v>183999</v>
      </c>
      <c r="N225" s="112">
        <v>175242</v>
      </c>
      <c r="O225" s="112">
        <v>156044</v>
      </c>
      <c r="P225" s="112">
        <v>146055</v>
      </c>
      <c r="R225" s="111" t="s">
        <v>54</v>
      </c>
      <c r="S225" s="220">
        <v>2.9</v>
      </c>
      <c r="T225" s="220">
        <v>4.4000000000000004</v>
      </c>
      <c r="U225" s="220">
        <v>4</v>
      </c>
      <c r="V225" s="220">
        <v>3.8</v>
      </c>
      <c r="W225" s="220">
        <v>4.2</v>
      </c>
      <c r="X225" s="220">
        <v>3.9</v>
      </c>
      <c r="Y225" s="220">
        <v>3.6</v>
      </c>
      <c r="Z225" s="220">
        <v>4.3</v>
      </c>
      <c r="AA225" s="220">
        <v>4.5999999999999996</v>
      </c>
      <c r="AC225" s="111" t="s">
        <v>54</v>
      </c>
      <c r="AD225" s="112">
        <f t="shared" si="181"/>
        <v>12893.341999999999</v>
      </c>
      <c r="AE225" s="112">
        <f t="shared" si="177"/>
        <v>16509.680000000004</v>
      </c>
      <c r="AF225" s="112">
        <f t="shared" si="177"/>
        <v>14414.16</v>
      </c>
      <c r="AG225" s="112">
        <f t="shared" si="177"/>
        <v>14555.823999999999</v>
      </c>
      <c r="AH225" s="112">
        <f t="shared" si="177"/>
        <v>15681.371999999999</v>
      </c>
      <c r="AI225" s="112">
        <f t="shared" si="177"/>
        <v>14351.921999999999</v>
      </c>
      <c r="AJ225" s="112">
        <f t="shared" si="177"/>
        <v>12617.424000000001</v>
      </c>
      <c r="AK225" s="112">
        <f t="shared" si="177"/>
        <v>13419.784</v>
      </c>
      <c r="AL225" s="112">
        <f t="shared" si="177"/>
        <v>13437.06</v>
      </c>
      <c r="AN225" s="111" t="s">
        <v>54</v>
      </c>
      <c r="AO225" s="113">
        <f t="shared" ref="AO225:AW225" si="206">H225/H224</f>
        <v>0.28211571238027794</v>
      </c>
      <c r="AP225" s="113">
        <f t="shared" si="206"/>
        <v>0.23521815446339017</v>
      </c>
      <c r="AQ225" s="113">
        <f t="shared" si="206"/>
        <v>0.2263572806020214</v>
      </c>
      <c r="AR225" s="113">
        <f t="shared" si="206"/>
        <v>0.23971993206074479</v>
      </c>
      <c r="AS225" s="113">
        <f t="shared" si="206"/>
        <v>0.2316344433442771</v>
      </c>
      <c r="AT225" s="113">
        <f t="shared" si="206"/>
        <v>0.22743470796112328</v>
      </c>
      <c r="AU225" s="113">
        <f t="shared" si="206"/>
        <v>0.21633933432341645</v>
      </c>
      <c r="AV225" s="113">
        <f t="shared" si="206"/>
        <v>0.19265452462319499</v>
      </c>
      <c r="AW225" s="113">
        <f t="shared" si="206"/>
        <v>0.17888725038703482</v>
      </c>
      <c r="AY225" s="111" t="s">
        <v>54</v>
      </c>
      <c r="AZ225" s="179">
        <f t="shared" si="179"/>
        <v>1.6362711318056122E-2</v>
      </c>
      <c r="BA225" s="179">
        <f t="shared" si="179"/>
        <v>2.0699197592778336E-2</v>
      </c>
      <c r="BB225" s="179">
        <f t="shared" si="179"/>
        <v>1.8108582448161711E-2</v>
      </c>
      <c r="BC225" s="179">
        <f t="shared" si="179"/>
        <v>1.8218714836616603E-2</v>
      </c>
      <c r="BD225" s="179">
        <f t="shared" si="179"/>
        <v>1.9457293240919278E-2</v>
      </c>
      <c r="BE225" s="179">
        <f t="shared" si="179"/>
        <v>1.7739907220967615E-2</v>
      </c>
      <c r="BF225" s="179">
        <f t="shared" si="179"/>
        <v>1.5576432071285985E-2</v>
      </c>
      <c r="BG225" s="179">
        <f t="shared" si="179"/>
        <v>1.6568289117594767E-2</v>
      </c>
      <c r="BH225" s="179">
        <f t="shared" si="179"/>
        <v>1.6457627035607204E-2</v>
      </c>
    </row>
    <row r="226" spans="2:68" s="108" customFormat="1" x14ac:dyDescent="0.25">
      <c r="B226" s="107"/>
      <c r="E226" s="109" t="s">
        <v>46</v>
      </c>
      <c r="F226" s="110" t="s">
        <v>61</v>
      </c>
      <c r="G226" s="111" t="s">
        <v>55</v>
      </c>
      <c r="H226" s="70">
        <v>215793</v>
      </c>
      <c r="I226" s="70">
        <v>242775</v>
      </c>
      <c r="J226" s="70">
        <v>243533</v>
      </c>
      <c r="K226" s="70">
        <v>235270</v>
      </c>
      <c r="L226" s="70">
        <v>233334</v>
      </c>
      <c r="M226" s="70">
        <v>237541</v>
      </c>
      <c r="N226" s="70">
        <v>241279</v>
      </c>
      <c r="O226" s="112">
        <v>234182</v>
      </c>
      <c r="P226" s="112">
        <v>231909</v>
      </c>
      <c r="R226" s="111" t="s">
        <v>55</v>
      </c>
      <c r="S226" s="81">
        <v>2.9</v>
      </c>
      <c r="T226" s="81">
        <v>3.6</v>
      </c>
      <c r="U226" s="81">
        <v>3.2</v>
      </c>
      <c r="V226" s="81">
        <v>3.1</v>
      </c>
      <c r="W226" s="81">
        <v>3.6</v>
      </c>
      <c r="X226" s="81">
        <v>3.9</v>
      </c>
      <c r="Y226" s="81">
        <v>3.6</v>
      </c>
      <c r="Z226" s="81">
        <v>3.6</v>
      </c>
      <c r="AA226" s="81">
        <v>3.6</v>
      </c>
      <c r="AC226" s="111" t="s">
        <v>55</v>
      </c>
      <c r="AD226" s="70">
        <f t="shared" si="181"/>
        <v>12515.993999999999</v>
      </c>
      <c r="AE226" s="70">
        <f t="shared" si="177"/>
        <v>17479.8</v>
      </c>
      <c r="AF226" s="70">
        <f t="shared" si="177"/>
        <v>15586.112000000001</v>
      </c>
      <c r="AG226" s="70">
        <f t="shared" si="177"/>
        <v>14586.74</v>
      </c>
      <c r="AH226" s="70">
        <f t="shared" si="177"/>
        <v>16800.047999999999</v>
      </c>
      <c r="AI226" s="70">
        <f t="shared" si="177"/>
        <v>18528.198</v>
      </c>
      <c r="AJ226" s="70">
        <f t="shared" si="177"/>
        <v>17372.088</v>
      </c>
      <c r="AK226" s="70">
        <f t="shared" si="177"/>
        <v>16861.104000000003</v>
      </c>
      <c r="AL226" s="70">
        <f t="shared" si="177"/>
        <v>16697.448</v>
      </c>
      <c r="AN226" s="111" t="s">
        <v>55</v>
      </c>
      <c r="AO226" s="113">
        <f t="shared" ref="AO226:AW226" si="207">H226/H224</f>
        <v>0.27385906334116356</v>
      </c>
      <c r="AP226" s="113">
        <f t="shared" si="207"/>
        <v>0.3043818956870612</v>
      </c>
      <c r="AQ226" s="113">
        <f t="shared" si="207"/>
        <v>0.30595174532183395</v>
      </c>
      <c r="AR226" s="113">
        <f t="shared" si="207"/>
        <v>0.29447436569793567</v>
      </c>
      <c r="AS226" s="113">
        <f t="shared" si="207"/>
        <v>0.2895185485732153</v>
      </c>
      <c r="AT226" s="113">
        <f t="shared" si="207"/>
        <v>0.29361609554287355</v>
      </c>
      <c r="AU226" s="113">
        <f t="shared" si="207"/>
        <v>0.2978631734756485</v>
      </c>
      <c r="AV226" s="113">
        <f t="shared" si="207"/>
        <v>0.28912500246923334</v>
      </c>
      <c r="AW226" s="113">
        <f t="shared" si="207"/>
        <v>0.28404069254737502</v>
      </c>
      <c r="AY226" s="111" t="s">
        <v>55</v>
      </c>
      <c r="AZ226" s="179">
        <f t="shared" si="179"/>
        <v>1.5883825673787485E-2</v>
      </c>
      <c r="BA226" s="179">
        <f t="shared" si="179"/>
        <v>2.191549648946841E-2</v>
      </c>
      <c r="BB226" s="179">
        <f t="shared" si="179"/>
        <v>1.9580911700597375E-2</v>
      </c>
      <c r="BC226" s="179">
        <f t="shared" si="179"/>
        <v>1.8257410673272013E-2</v>
      </c>
      <c r="BD226" s="179">
        <f t="shared" si="179"/>
        <v>2.0845335497271501E-2</v>
      </c>
      <c r="BE226" s="179">
        <f t="shared" si="179"/>
        <v>2.2902055452344135E-2</v>
      </c>
      <c r="BF226" s="179">
        <f t="shared" si="179"/>
        <v>2.1446148490246696E-2</v>
      </c>
      <c r="BG226" s="179">
        <f t="shared" si="179"/>
        <v>2.0817000177784803E-2</v>
      </c>
      <c r="BH226" s="179">
        <f t="shared" si="179"/>
        <v>2.0450929863411002E-2</v>
      </c>
    </row>
    <row r="227" spans="2:68" s="108" customFormat="1" x14ac:dyDescent="0.25">
      <c r="B227" s="107"/>
      <c r="E227" s="109" t="s">
        <v>46</v>
      </c>
      <c r="F227" s="110" t="s">
        <v>61</v>
      </c>
      <c r="G227" s="111" t="s">
        <v>130</v>
      </c>
      <c r="H227" s="70">
        <v>94764</v>
      </c>
      <c r="I227" s="70">
        <v>101293</v>
      </c>
      <c r="J227" s="70">
        <v>92434</v>
      </c>
      <c r="K227" s="70">
        <v>93360</v>
      </c>
      <c r="L227" s="70">
        <v>95436</v>
      </c>
      <c r="M227" s="70">
        <v>97926</v>
      </c>
      <c r="N227" s="70">
        <v>93966</v>
      </c>
      <c r="O227" s="112">
        <v>99256</v>
      </c>
      <c r="P227" s="112">
        <v>106792</v>
      </c>
      <c r="R227" s="111" t="s">
        <v>130</v>
      </c>
      <c r="S227" s="220">
        <v>4.8</v>
      </c>
      <c r="T227" s="220">
        <v>5.5</v>
      </c>
      <c r="U227" s="220">
        <v>5.3</v>
      </c>
      <c r="V227" s="220">
        <v>5.0999999999999996</v>
      </c>
      <c r="W227" s="220">
        <v>5.6</v>
      </c>
      <c r="X227" s="220">
        <v>6</v>
      </c>
      <c r="Y227" s="220">
        <v>5.7</v>
      </c>
      <c r="Z227" s="220">
        <v>5.6</v>
      </c>
      <c r="AA227" s="220">
        <v>5.3</v>
      </c>
      <c r="AC227" s="111" t="s">
        <v>130</v>
      </c>
      <c r="AD227" s="70">
        <f t="shared" si="181"/>
        <v>9097.344000000001</v>
      </c>
      <c r="AE227" s="70">
        <f t="shared" si="177"/>
        <v>11142.23</v>
      </c>
      <c r="AF227" s="70">
        <f t="shared" si="177"/>
        <v>9798.0040000000008</v>
      </c>
      <c r="AG227" s="70">
        <f t="shared" si="177"/>
        <v>9522.7199999999993</v>
      </c>
      <c r="AH227" s="70">
        <f t="shared" si="177"/>
        <v>10688.832</v>
      </c>
      <c r="AI227" s="70">
        <f t="shared" si="177"/>
        <v>11751.12</v>
      </c>
      <c r="AJ227" s="70">
        <f t="shared" si="177"/>
        <v>10712.124000000002</v>
      </c>
      <c r="AK227" s="70">
        <f t="shared" si="177"/>
        <v>11116.671999999999</v>
      </c>
      <c r="AL227" s="70">
        <f t="shared" si="177"/>
        <v>11319.951999999999</v>
      </c>
      <c r="AN227" s="111" t="s">
        <v>130</v>
      </c>
      <c r="AO227" s="113">
        <f t="shared" ref="AO227:AW227" si="208">H227/H224</f>
        <v>0.12026330918269834</v>
      </c>
      <c r="AP227" s="113">
        <f t="shared" si="208"/>
        <v>0.12699724172517551</v>
      </c>
      <c r="AQ227" s="113">
        <f t="shared" si="208"/>
        <v>0.1161253038687915</v>
      </c>
      <c r="AR227" s="113">
        <f t="shared" si="208"/>
        <v>0.11685351630704839</v>
      </c>
      <c r="AS227" s="113">
        <f t="shared" si="208"/>
        <v>0.11841605681826642</v>
      </c>
      <c r="AT227" s="113">
        <f t="shared" si="208"/>
        <v>0.12104289268855244</v>
      </c>
      <c r="AU227" s="113">
        <f t="shared" si="208"/>
        <v>0.11600268137224039</v>
      </c>
      <c r="AV227" s="113">
        <f t="shared" si="208"/>
        <v>0.1225431128143334</v>
      </c>
      <c r="AW227" s="113">
        <f t="shared" si="208"/>
        <v>0.13079817358756785</v>
      </c>
      <c r="AY227" s="111" t="s">
        <v>130</v>
      </c>
      <c r="AZ227" s="179">
        <f t="shared" si="179"/>
        <v>1.1545277681539042E-2</v>
      </c>
      <c r="BA227" s="179">
        <f t="shared" si="179"/>
        <v>1.3969696589769307E-2</v>
      </c>
      <c r="BB227" s="179">
        <f t="shared" si="179"/>
        <v>1.2309282210091898E-2</v>
      </c>
      <c r="BC227" s="179">
        <f t="shared" ref="BC227:BH238" si="209">2*(V227*AR227/100)</f>
        <v>1.1919058663318936E-2</v>
      </c>
      <c r="BD227" s="179">
        <f t="shared" si="209"/>
        <v>1.326259836364584E-2</v>
      </c>
      <c r="BE227" s="179">
        <f t="shared" si="209"/>
        <v>1.4525147122626291E-2</v>
      </c>
      <c r="BF227" s="179">
        <f t="shared" si="209"/>
        <v>1.3224305676435405E-2</v>
      </c>
      <c r="BG227" s="179">
        <f t="shared" si="209"/>
        <v>1.3724828635205339E-2</v>
      </c>
      <c r="BH227" s="179">
        <f t="shared" si="209"/>
        <v>1.3864606400282191E-2</v>
      </c>
    </row>
    <row r="228" spans="2:68" s="108" customFormat="1" x14ac:dyDescent="0.25">
      <c r="B228" s="107"/>
      <c r="E228" s="109" t="s">
        <v>46</v>
      </c>
      <c r="F228" s="110" t="s">
        <v>61</v>
      </c>
      <c r="G228" s="111" t="s">
        <v>131</v>
      </c>
      <c r="H228" s="112">
        <v>254233</v>
      </c>
      <c r="I228" s="112">
        <v>263911</v>
      </c>
      <c r="J228" s="112">
        <v>278131</v>
      </c>
      <c r="K228" s="112">
        <v>277876</v>
      </c>
      <c r="L228" s="112">
        <v>288780</v>
      </c>
      <c r="M228" s="112">
        <v>288131</v>
      </c>
      <c r="N228" s="112">
        <v>296786</v>
      </c>
      <c r="O228" s="112">
        <v>320486</v>
      </c>
      <c r="P228" s="112">
        <v>331707</v>
      </c>
      <c r="R228" s="111" t="s">
        <v>131</v>
      </c>
      <c r="S228" s="220">
        <v>2.5</v>
      </c>
      <c r="T228" s="220">
        <v>5.5</v>
      </c>
      <c r="U228" s="220">
        <v>2.8</v>
      </c>
      <c r="V228" s="220">
        <v>2.7</v>
      </c>
      <c r="W228" s="220">
        <v>2.6</v>
      </c>
      <c r="X228" s="220">
        <v>3.2</v>
      </c>
      <c r="Y228" s="220">
        <v>2.9</v>
      </c>
      <c r="Z228" s="220">
        <v>2.7</v>
      </c>
      <c r="AA228" s="220">
        <v>2.6</v>
      </c>
      <c r="AC228" s="111" t="s">
        <v>131</v>
      </c>
      <c r="AD228" s="112">
        <f t="shared" si="181"/>
        <v>12711.65</v>
      </c>
      <c r="AE228" s="112">
        <f t="shared" si="177"/>
        <v>29030.21</v>
      </c>
      <c r="AF228" s="112">
        <f t="shared" si="177"/>
        <v>15575.335999999999</v>
      </c>
      <c r="AG228" s="112">
        <f t="shared" si="177"/>
        <v>15005.304000000002</v>
      </c>
      <c r="AH228" s="112">
        <f t="shared" si="177"/>
        <v>15016.56</v>
      </c>
      <c r="AI228" s="112">
        <f t="shared" si="177"/>
        <v>18440.384000000002</v>
      </c>
      <c r="AJ228" s="112">
        <f t="shared" si="177"/>
        <v>17213.588</v>
      </c>
      <c r="AK228" s="112">
        <f t="shared" si="177"/>
        <v>17306.244000000002</v>
      </c>
      <c r="AL228" s="112">
        <f t="shared" si="177"/>
        <v>17248.764000000003</v>
      </c>
      <c r="AN228" s="111" t="s">
        <v>131</v>
      </c>
      <c r="AO228" s="113">
        <f t="shared" ref="AO228:AW228" si="210">H228/H224</f>
        <v>0.32264258456212219</v>
      </c>
      <c r="AP228" s="113">
        <f t="shared" si="210"/>
        <v>0.33088139418254764</v>
      </c>
      <c r="AQ228" s="113">
        <f t="shared" si="210"/>
        <v>0.34941738851862786</v>
      </c>
      <c r="AR228" s="113">
        <f t="shared" si="210"/>
        <v>0.347801924778678</v>
      </c>
      <c r="AS228" s="113">
        <f t="shared" si="210"/>
        <v>0.35831540391444505</v>
      </c>
      <c r="AT228" s="113">
        <f t="shared" si="210"/>
        <v>0.35614861950090171</v>
      </c>
      <c r="AU228" s="113">
        <f t="shared" si="210"/>
        <v>0.36638754223593362</v>
      </c>
      <c r="AV228" s="113">
        <f t="shared" si="210"/>
        <v>0.39567736009323823</v>
      </c>
      <c r="AW228" s="113">
        <f t="shared" si="210"/>
        <v>0.40627265868427759</v>
      </c>
      <c r="AY228" s="111" t="s">
        <v>131</v>
      </c>
      <c r="AZ228" s="179">
        <f t="shared" ref="AZ228:BB238" si="211">2*(S228*AO228/100)</f>
        <v>1.6132129228106109E-2</v>
      </c>
      <c r="BA228" s="179">
        <f t="shared" si="211"/>
        <v>3.6396953360080239E-2</v>
      </c>
      <c r="BB228" s="179">
        <f t="shared" si="211"/>
        <v>1.956737375704316E-2</v>
      </c>
      <c r="BC228" s="179">
        <f t="shared" si="209"/>
        <v>1.8781303938048614E-2</v>
      </c>
      <c r="BD228" s="179">
        <f t="shared" si="209"/>
        <v>1.8632401003551142E-2</v>
      </c>
      <c r="BE228" s="179">
        <f t="shared" si="209"/>
        <v>2.2793511648057711E-2</v>
      </c>
      <c r="BF228" s="179">
        <f t="shared" si="209"/>
        <v>2.1250477449684148E-2</v>
      </c>
      <c r="BG228" s="179">
        <f t="shared" si="209"/>
        <v>2.1366577445034864E-2</v>
      </c>
      <c r="BH228" s="179">
        <f t="shared" si="209"/>
        <v>2.1126178251582438E-2</v>
      </c>
    </row>
    <row r="229" spans="2:68" s="87" customFormat="1" x14ac:dyDescent="0.25">
      <c r="B229" s="84"/>
      <c r="C229" s="85"/>
      <c r="D229" s="85"/>
      <c r="E229" s="109" t="s">
        <v>4</v>
      </c>
      <c r="F229" s="110" t="s">
        <v>61</v>
      </c>
      <c r="G229" s="195" t="s">
        <v>7</v>
      </c>
      <c r="H229" s="69">
        <v>380842</v>
      </c>
      <c r="I229" s="69">
        <v>385755</v>
      </c>
      <c r="J229" s="69">
        <v>385021</v>
      </c>
      <c r="K229" s="69">
        <v>385923</v>
      </c>
      <c r="L229" s="69">
        <v>387309</v>
      </c>
      <c r="M229" s="69">
        <v>387595</v>
      </c>
      <c r="N229" s="69">
        <v>390614</v>
      </c>
      <c r="O229" s="69">
        <v>393020</v>
      </c>
      <c r="P229" s="69">
        <v>395971</v>
      </c>
      <c r="R229" s="195" t="s">
        <v>7</v>
      </c>
      <c r="S229" s="226">
        <v>1.9</v>
      </c>
      <c r="T229" s="226">
        <v>1.1000000000000001</v>
      </c>
      <c r="U229" s="226">
        <v>1</v>
      </c>
      <c r="V229" s="226">
        <v>1</v>
      </c>
      <c r="W229" s="226">
        <v>1.1000000000000001</v>
      </c>
      <c r="X229" s="226">
        <v>1.2</v>
      </c>
      <c r="Y229" s="226">
        <v>1</v>
      </c>
      <c r="Z229" s="226">
        <v>1</v>
      </c>
      <c r="AA229" s="226">
        <v>1</v>
      </c>
      <c r="AC229" s="195" t="s">
        <v>7</v>
      </c>
      <c r="AD229" s="69">
        <f t="shared" si="181"/>
        <v>14471.995999999999</v>
      </c>
      <c r="AE229" s="69">
        <f t="shared" si="177"/>
        <v>8486.61</v>
      </c>
      <c r="AF229" s="69">
        <f t="shared" si="177"/>
        <v>7700.42</v>
      </c>
      <c r="AG229" s="69">
        <f t="shared" si="177"/>
        <v>7718.46</v>
      </c>
      <c r="AH229" s="69">
        <f t="shared" si="177"/>
        <v>8520.7980000000007</v>
      </c>
      <c r="AI229" s="69">
        <f t="shared" si="177"/>
        <v>9302.2800000000007</v>
      </c>
      <c r="AJ229" s="69">
        <f t="shared" si="177"/>
        <v>7812.28</v>
      </c>
      <c r="AK229" s="69">
        <f t="shared" si="177"/>
        <v>7860.4</v>
      </c>
      <c r="AL229" s="69">
        <f t="shared" si="177"/>
        <v>7919.42</v>
      </c>
      <c r="AN229" s="195" t="s">
        <v>7</v>
      </c>
      <c r="AO229" s="98">
        <f t="shared" ref="AO229:AW229" si="212">H229/H229</f>
        <v>1</v>
      </c>
      <c r="AP229" s="98">
        <f t="shared" si="212"/>
        <v>1</v>
      </c>
      <c r="AQ229" s="98">
        <f t="shared" si="212"/>
        <v>1</v>
      </c>
      <c r="AR229" s="98">
        <f t="shared" si="212"/>
        <v>1</v>
      </c>
      <c r="AS229" s="98">
        <f t="shared" si="212"/>
        <v>1</v>
      </c>
      <c r="AT229" s="98">
        <f t="shared" si="212"/>
        <v>1</v>
      </c>
      <c r="AU229" s="98">
        <f t="shared" si="212"/>
        <v>1</v>
      </c>
      <c r="AV229" s="98">
        <f t="shared" si="212"/>
        <v>1</v>
      </c>
      <c r="AW229" s="98">
        <f t="shared" si="212"/>
        <v>1</v>
      </c>
      <c r="AX229" s="191"/>
      <c r="AY229" s="195" t="s">
        <v>7</v>
      </c>
      <c r="AZ229" s="178">
        <f t="shared" si="211"/>
        <v>3.7999999999999999E-2</v>
      </c>
      <c r="BA229" s="178">
        <f t="shared" si="211"/>
        <v>2.2000000000000002E-2</v>
      </c>
      <c r="BB229" s="178">
        <f t="shared" si="211"/>
        <v>0.02</v>
      </c>
      <c r="BC229" s="178">
        <f t="shared" si="209"/>
        <v>0.02</v>
      </c>
      <c r="BD229" s="178">
        <f t="shared" si="209"/>
        <v>2.2000000000000002E-2</v>
      </c>
      <c r="BE229" s="178">
        <f t="shared" si="209"/>
        <v>2.4E-2</v>
      </c>
      <c r="BF229" s="178">
        <f t="shared" si="209"/>
        <v>0.02</v>
      </c>
      <c r="BG229" s="178">
        <f t="shared" si="209"/>
        <v>0.02</v>
      </c>
      <c r="BH229" s="178">
        <f t="shared" si="209"/>
        <v>0.02</v>
      </c>
      <c r="BI229" s="191"/>
      <c r="BJ229" s="191"/>
      <c r="BK229" s="191"/>
      <c r="BL229" s="191"/>
      <c r="BM229" s="191"/>
      <c r="BN229" s="191"/>
      <c r="BO229" s="191"/>
      <c r="BP229" s="191"/>
    </row>
    <row r="230" spans="2:68" s="108" customFormat="1" x14ac:dyDescent="0.25">
      <c r="B230" s="107"/>
      <c r="E230" s="109" t="s">
        <v>4</v>
      </c>
      <c r="F230" s="110" t="s">
        <v>61</v>
      </c>
      <c r="G230" s="111" t="s">
        <v>54</v>
      </c>
      <c r="H230" s="112">
        <v>115145</v>
      </c>
      <c r="I230" s="112">
        <v>97656</v>
      </c>
      <c r="J230" s="112">
        <v>91422</v>
      </c>
      <c r="K230" s="112">
        <v>100580</v>
      </c>
      <c r="L230" s="112">
        <v>96364</v>
      </c>
      <c r="M230" s="112">
        <v>95165</v>
      </c>
      <c r="N230" s="112">
        <v>91621</v>
      </c>
      <c r="O230" s="112">
        <v>85464</v>
      </c>
      <c r="P230" s="112">
        <v>80561</v>
      </c>
      <c r="R230" s="111" t="s">
        <v>54</v>
      </c>
      <c r="S230" s="220">
        <v>4.5</v>
      </c>
      <c r="T230" s="220">
        <v>5</v>
      </c>
      <c r="U230" s="220">
        <v>5.0999999999999996</v>
      </c>
      <c r="V230" s="220">
        <v>4.5</v>
      </c>
      <c r="W230" s="220">
        <v>5.0999999999999996</v>
      </c>
      <c r="X230" s="220">
        <v>5.5</v>
      </c>
      <c r="Y230" s="220">
        <v>5.4</v>
      </c>
      <c r="Z230" s="220">
        <v>5.9</v>
      </c>
      <c r="AA230" s="220">
        <v>6.1</v>
      </c>
      <c r="AC230" s="111" t="s">
        <v>54</v>
      </c>
      <c r="AD230" s="112">
        <f t="shared" si="181"/>
        <v>10363.049999999999</v>
      </c>
      <c r="AE230" s="112">
        <f t="shared" si="177"/>
        <v>9765.6</v>
      </c>
      <c r="AF230" s="112">
        <f t="shared" si="177"/>
        <v>9325.0439999999999</v>
      </c>
      <c r="AG230" s="112">
        <f t="shared" si="177"/>
        <v>9052.2000000000007</v>
      </c>
      <c r="AH230" s="112">
        <f t="shared" si="177"/>
        <v>9829.1279999999988</v>
      </c>
      <c r="AI230" s="112">
        <f t="shared" si="177"/>
        <v>10468.15</v>
      </c>
      <c r="AJ230" s="112">
        <f t="shared" si="177"/>
        <v>9895.0680000000011</v>
      </c>
      <c r="AK230" s="112">
        <f t="shared" si="177"/>
        <v>10084.752</v>
      </c>
      <c r="AL230" s="112">
        <f t="shared" si="177"/>
        <v>9828.4419999999991</v>
      </c>
      <c r="AN230" s="111" t="s">
        <v>54</v>
      </c>
      <c r="AO230" s="113">
        <f t="shared" ref="AO230:AW230" si="213">H230/H229</f>
        <v>0.30234322895058846</v>
      </c>
      <c r="AP230" s="113">
        <f t="shared" si="213"/>
        <v>0.25315550025275108</v>
      </c>
      <c r="AQ230" s="113">
        <f t="shared" si="213"/>
        <v>0.2374467886167248</v>
      </c>
      <c r="AR230" s="113">
        <f t="shared" si="213"/>
        <v>0.26062193753676249</v>
      </c>
      <c r="AS230" s="113">
        <f t="shared" si="213"/>
        <v>0.24880392658058553</v>
      </c>
      <c r="AT230" s="113">
        <f t="shared" si="213"/>
        <v>0.24552690308182509</v>
      </c>
      <c r="AU230" s="113">
        <f t="shared" si="213"/>
        <v>0.23455636510724143</v>
      </c>
      <c r="AV230" s="113">
        <f t="shared" si="213"/>
        <v>0.21745458246399674</v>
      </c>
      <c r="AW230" s="113">
        <f t="shared" si="213"/>
        <v>0.20345176793250011</v>
      </c>
      <c r="AY230" s="111" t="s">
        <v>54</v>
      </c>
      <c r="AZ230" s="179">
        <f t="shared" si="211"/>
        <v>2.721089060555296E-2</v>
      </c>
      <c r="BA230" s="179">
        <f t="shared" si="211"/>
        <v>2.5315550025275108E-2</v>
      </c>
      <c r="BB230" s="179">
        <f t="shared" si="211"/>
        <v>2.4219572438905931E-2</v>
      </c>
      <c r="BC230" s="179">
        <f t="shared" si="209"/>
        <v>2.3455974378308625E-2</v>
      </c>
      <c r="BD230" s="179">
        <f t="shared" si="209"/>
        <v>2.5378000511219724E-2</v>
      </c>
      <c r="BE230" s="179">
        <f t="shared" si="209"/>
        <v>2.7007959339000763E-2</v>
      </c>
      <c r="BF230" s="179">
        <f t="shared" si="209"/>
        <v>2.5332087431582075E-2</v>
      </c>
      <c r="BG230" s="179">
        <f t="shared" si="209"/>
        <v>2.5659640730751616E-2</v>
      </c>
      <c r="BH230" s="179">
        <f t="shared" si="209"/>
        <v>2.4821115687765013E-2</v>
      </c>
    </row>
    <row r="231" spans="2:68" s="108" customFormat="1" x14ac:dyDescent="0.25">
      <c r="B231" s="107"/>
      <c r="E231" s="109" t="s">
        <v>4</v>
      </c>
      <c r="F231" s="110" t="s">
        <v>61</v>
      </c>
      <c r="G231" s="111" t="s">
        <v>55</v>
      </c>
      <c r="H231" s="70">
        <v>117135</v>
      </c>
      <c r="I231" s="70">
        <v>135364</v>
      </c>
      <c r="J231" s="70">
        <v>129959</v>
      </c>
      <c r="K231" s="70">
        <v>122916</v>
      </c>
      <c r="L231" s="70">
        <v>120686</v>
      </c>
      <c r="M231" s="70">
        <v>122593</v>
      </c>
      <c r="N231" s="70">
        <v>120235</v>
      </c>
      <c r="O231" s="112">
        <v>120402</v>
      </c>
      <c r="P231" s="112">
        <v>123800</v>
      </c>
      <c r="R231" s="111" t="s">
        <v>55</v>
      </c>
      <c r="S231" s="81">
        <v>4.5</v>
      </c>
      <c r="T231" s="81">
        <v>4.8</v>
      </c>
      <c r="U231" s="81">
        <v>4.3</v>
      </c>
      <c r="V231" s="81">
        <v>4.8</v>
      </c>
      <c r="W231" s="81">
        <v>5.5</v>
      </c>
      <c r="X231" s="81">
        <v>5.8</v>
      </c>
      <c r="Y231" s="81">
        <v>5.4</v>
      </c>
      <c r="Z231" s="81">
        <v>4.7</v>
      </c>
      <c r="AA231" s="81">
        <v>5.3</v>
      </c>
      <c r="AC231" s="111" t="s">
        <v>55</v>
      </c>
      <c r="AD231" s="70">
        <f t="shared" si="181"/>
        <v>10542.15</v>
      </c>
      <c r="AE231" s="70">
        <f t="shared" si="177"/>
        <v>12994.944</v>
      </c>
      <c r="AF231" s="70">
        <f t="shared" ref="AF231:AL238" si="214">2*(J231*U231/100)</f>
        <v>11176.473999999998</v>
      </c>
      <c r="AG231" s="70">
        <f t="shared" si="214"/>
        <v>11799.935999999998</v>
      </c>
      <c r="AH231" s="70">
        <f t="shared" si="214"/>
        <v>13275.46</v>
      </c>
      <c r="AI231" s="70">
        <f t="shared" si="214"/>
        <v>14220.788</v>
      </c>
      <c r="AJ231" s="70">
        <f t="shared" si="214"/>
        <v>12985.38</v>
      </c>
      <c r="AK231" s="70">
        <f t="shared" si="214"/>
        <v>11317.788</v>
      </c>
      <c r="AL231" s="70">
        <f t="shared" si="214"/>
        <v>13122.8</v>
      </c>
      <c r="AN231" s="111" t="s">
        <v>55</v>
      </c>
      <c r="AO231" s="113">
        <f t="shared" ref="AO231:AW231" si="215">H231/H229</f>
        <v>0.30756849297083833</v>
      </c>
      <c r="AP231" s="113">
        <f t="shared" si="215"/>
        <v>0.3509066635558839</v>
      </c>
      <c r="AQ231" s="113">
        <f t="shared" si="215"/>
        <v>0.33753743302313383</v>
      </c>
      <c r="AR231" s="113">
        <f t="shared" si="215"/>
        <v>0.31849876788893122</v>
      </c>
      <c r="AS231" s="113">
        <f t="shared" si="215"/>
        <v>0.3116013312368161</v>
      </c>
      <c r="AT231" s="113">
        <f t="shared" si="215"/>
        <v>0.31629148982830013</v>
      </c>
      <c r="AU231" s="113">
        <f t="shared" si="215"/>
        <v>0.30781026793714511</v>
      </c>
      <c r="AV231" s="113">
        <f t="shared" si="215"/>
        <v>0.30635082184112766</v>
      </c>
      <c r="AW231" s="113">
        <f t="shared" si="215"/>
        <v>0.31264915865050724</v>
      </c>
      <c r="AY231" s="111" t="s">
        <v>55</v>
      </c>
      <c r="AZ231" s="179">
        <f t="shared" si="211"/>
        <v>2.7681164367375447E-2</v>
      </c>
      <c r="BA231" s="179">
        <f t="shared" si="211"/>
        <v>3.3687039701364857E-2</v>
      </c>
      <c r="BB231" s="179">
        <f t="shared" si="211"/>
        <v>2.9028219239989508E-2</v>
      </c>
      <c r="BC231" s="179">
        <f t="shared" si="209"/>
        <v>3.0575881717337397E-2</v>
      </c>
      <c r="BD231" s="179">
        <f t="shared" si="209"/>
        <v>3.4276146436049773E-2</v>
      </c>
      <c r="BE231" s="179">
        <f t="shared" si="209"/>
        <v>3.6689812820082809E-2</v>
      </c>
      <c r="BF231" s="179">
        <f t="shared" si="209"/>
        <v>3.3243508937211674E-2</v>
      </c>
      <c r="BG231" s="179">
        <f t="shared" si="209"/>
        <v>2.8796977253066004E-2</v>
      </c>
      <c r="BH231" s="179">
        <f t="shared" si="209"/>
        <v>3.3140810816953768E-2</v>
      </c>
    </row>
    <row r="232" spans="2:68" s="108" customFormat="1" x14ac:dyDescent="0.25">
      <c r="B232" s="107"/>
      <c r="E232" s="109" t="s">
        <v>4</v>
      </c>
      <c r="F232" s="110" t="s">
        <v>61</v>
      </c>
      <c r="G232" s="111" t="s">
        <v>130</v>
      </c>
      <c r="H232" s="70">
        <v>41308</v>
      </c>
      <c r="I232" s="70">
        <v>50119</v>
      </c>
      <c r="J232" s="70">
        <v>49768</v>
      </c>
      <c r="K232" s="70">
        <v>44719</v>
      </c>
      <c r="L232" s="70">
        <v>44238</v>
      </c>
      <c r="M232" s="70">
        <v>46867</v>
      </c>
      <c r="N232" s="70">
        <v>46562</v>
      </c>
      <c r="O232" s="112">
        <v>47919</v>
      </c>
      <c r="P232" s="112">
        <v>51567</v>
      </c>
      <c r="R232" s="111" t="s">
        <v>130</v>
      </c>
      <c r="S232" s="220">
        <v>7.4</v>
      </c>
      <c r="T232" s="220">
        <v>8.1</v>
      </c>
      <c r="U232" s="220">
        <v>7.7</v>
      </c>
      <c r="V232" s="220">
        <v>7.9</v>
      </c>
      <c r="W232" s="220">
        <v>9.1</v>
      </c>
      <c r="X232" s="220">
        <v>8.9</v>
      </c>
      <c r="Y232" s="220">
        <v>8.3000000000000007</v>
      </c>
      <c r="Z232" s="220">
        <v>8.4</v>
      </c>
      <c r="AA232" s="220">
        <v>7.7</v>
      </c>
      <c r="AC232" s="111" t="s">
        <v>130</v>
      </c>
      <c r="AD232" s="70">
        <f t="shared" si="181"/>
        <v>6113.5839999999998</v>
      </c>
      <c r="AE232" s="70">
        <f t="shared" si="181"/>
        <v>8119.2779999999993</v>
      </c>
      <c r="AF232" s="70">
        <f t="shared" si="214"/>
        <v>7664.2720000000008</v>
      </c>
      <c r="AG232" s="70">
        <f t="shared" si="214"/>
        <v>7065.6020000000008</v>
      </c>
      <c r="AH232" s="70">
        <f t="shared" si="214"/>
        <v>8051.3159999999998</v>
      </c>
      <c r="AI232" s="70">
        <f t="shared" si="214"/>
        <v>8342.3259999999991</v>
      </c>
      <c r="AJ232" s="70">
        <f t="shared" si="214"/>
        <v>7729.2920000000004</v>
      </c>
      <c r="AK232" s="70">
        <f t="shared" si="214"/>
        <v>8050.3920000000007</v>
      </c>
      <c r="AL232" s="70">
        <f t="shared" si="214"/>
        <v>7941.3180000000002</v>
      </c>
      <c r="AN232" s="111" t="s">
        <v>130</v>
      </c>
      <c r="AO232" s="113">
        <f t="shared" ref="AO232:AW232" si="216">H232/H229</f>
        <v>0.10846492771280479</v>
      </c>
      <c r="AP232" s="113">
        <f t="shared" si="216"/>
        <v>0.12992443390234734</v>
      </c>
      <c r="AQ232" s="113">
        <f t="shared" si="216"/>
        <v>0.1292604818957927</v>
      </c>
      <c r="AR232" s="113">
        <f t="shared" si="216"/>
        <v>0.11587544665645738</v>
      </c>
      <c r="AS232" s="113">
        <f t="shared" si="216"/>
        <v>0.1142188794993145</v>
      </c>
      <c r="AT232" s="113">
        <f t="shared" si="216"/>
        <v>0.12091745249551723</v>
      </c>
      <c r="AU232" s="113">
        <f t="shared" si="216"/>
        <v>0.11920207673048074</v>
      </c>
      <c r="AV232" s="113">
        <f t="shared" si="216"/>
        <v>0.12192509287059183</v>
      </c>
      <c r="AW232" s="113">
        <f t="shared" si="216"/>
        <v>0.13022923395905256</v>
      </c>
      <c r="AY232" s="111" t="s">
        <v>130</v>
      </c>
      <c r="AZ232" s="179">
        <f t="shared" si="211"/>
        <v>1.6052809301495111E-2</v>
      </c>
      <c r="BA232" s="179">
        <f t="shared" si="211"/>
        <v>2.1047758292180266E-2</v>
      </c>
      <c r="BB232" s="179">
        <f t="shared" si="211"/>
        <v>1.9906114211952076E-2</v>
      </c>
      <c r="BC232" s="179">
        <f t="shared" si="209"/>
        <v>1.8308320571720268E-2</v>
      </c>
      <c r="BD232" s="179">
        <f t="shared" si="209"/>
        <v>2.0787836068875239E-2</v>
      </c>
      <c r="BE232" s="179">
        <f t="shared" si="209"/>
        <v>2.1523306544202071E-2</v>
      </c>
      <c r="BF232" s="179">
        <f t="shared" si="209"/>
        <v>1.9787544737259802E-2</v>
      </c>
      <c r="BG232" s="179">
        <f t="shared" si="209"/>
        <v>2.0483415602259428E-2</v>
      </c>
      <c r="BH232" s="179">
        <f t="shared" si="209"/>
        <v>2.0055302029694095E-2</v>
      </c>
    </row>
    <row r="233" spans="2:68" s="108" customFormat="1" x14ac:dyDescent="0.25">
      <c r="B233" s="107"/>
      <c r="E233" s="109" t="s">
        <v>4</v>
      </c>
      <c r="F233" s="110" t="s">
        <v>61</v>
      </c>
      <c r="G233" s="111" t="s">
        <v>131</v>
      </c>
      <c r="H233" s="112">
        <v>106442</v>
      </c>
      <c r="I233" s="112">
        <v>101873</v>
      </c>
      <c r="J233" s="112">
        <v>112266</v>
      </c>
      <c r="K233" s="112">
        <v>117411</v>
      </c>
      <c r="L233" s="112">
        <v>124509</v>
      </c>
      <c r="M233" s="112">
        <v>121778</v>
      </c>
      <c r="N233" s="112">
        <v>130773</v>
      </c>
      <c r="O233" s="112">
        <v>139235</v>
      </c>
      <c r="P233" s="112">
        <v>140042</v>
      </c>
      <c r="R233" s="111" t="s">
        <v>131</v>
      </c>
      <c r="S233" s="220">
        <v>4.5</v>
      </c>
      <c r="T233" s="220">
        <v>5.2</v>
      </c>
      <c r="U233" s="220">
        <v>4.8</v>
      </c>
      <c r="V233" s="220">
        <v>4.4000000000000004</v>
      </c>
      <c r="W233" s="220">
        <v>5</v>
      </c>
      <c r="X233" s="220">
        <v>5.3</v>
      </c>
      <c r="Y233" s="220">
        <v>3.9</v>
      </c>
      <c r="Z233" s="220">
        <v>4.7</v>
      </c>
      <c r="AA233" s="220">
        <v>4.5999999999999996</v>
      </c>
      <c r="AC233" s="111" t="s">
        <v>131</v>
      </c>
      <c r="AD233" s="112">
        <f t="shared" si="181"/>
        <v>9579.7800000000007</v>
      </c>
      <c r="AE233" s="112">
        <f t="shared" si="181"/>
        <v>10594.791999999999</v>
      </c>
      <c r="AF233" s="112">
        <f t="shared" si="214"/>
        <v>10777.535999999998</v>
      </c>
      <c r="AG233" s="112">
        <f t="shared" si="214"/>
        <v>10332.168</v>
      </c>
      <c r="AH233" s="112">
        <f t="shared" si="214"/>
        <v>12450.9</v>
      </c>
      <c r="AI233" s="112">
        <f t="shared" si="214"/>
        <v>12908.468000000001</v>
      </c>
      <c r="AJ233" s="112">
        <f t="shared" si="214"/>
        <v>10200.294</v>
      </c>
      <c r="AK233" s="112">
        <f t="shared" si="214"/>
        <v>13088.09</v>
      </c>
      <c r="AL233" s="112">
        <f t="shared" si="214"/>
        <v>12883.864</v>
      </c>
      <c r="AN233" s="111" t="s">
        <v>131</v>
      </c>
      <c r="AO233" s="113">
        <f t="shared" ref="AO233:AW233" si="217">H233/H229</f>
        <v>0.27949123258464142</v>
      </c>
      <c r="AP233" s="113">
        <f t="shared" si="217"/>
        <v>0.2640873093025366</v>
      </c>
      <c r="AQ233" s="113">
        <f t="shared" si="217"/>
        <v>0.29158409541297747</v>
      </c>
      <c r="AR233" s="113">
        <f t="shared" si="217"/>
        <v>0.30423426434806944</v>
      </c>
      <c r="AS233" s="113">
        <f t="shared" si="217"/>
        <v>0.32147200297436929</v>
      </c>
      <c r="AT233" s="113">
        <f t="shared" si="217"/>
        <v>0.31418877952501967</v>
      </c>
      <c r="AU233" s="113">
        <f t="shared" si="217"/>
        <v>0.33478830763874312</v>
      </c>
      <c r="AV233" s="113">
        <f t="shared" si="217"/>
        <v>0.35426950282428377</v>
      </c>
      <c r="AW233" s="113">
        <f t="shared" si="217"/>
        <v>0.35366731402047119</v>
      </c>
      <c r="AY233" s="111" t="s">
        <v>131</v>
      </c>
      <c r="AZ233" s="179">
        <f t="shared" si="211"/>
        <v>2.5154210932617729E-2</v>
      </c>
      <c r="BA233" s="179">
        <f t="shared" si="211"/>
        <v>2.7465080167463806E-2</v>
      </c>
      <c r="BB233" s="179">
        <f t="shared" si="211"/>
        <v>2.7992073159645837E-2</v>
      </c>
      <c r="BC233" s="179">
        <f t="shared" si="209"/>
        <v>2.6772615262630112E-2</v>
      </c>
      <c r="BD233" s="179">
        <f t="shared" si="209"/>
        <v>3.2147200297436923E-2</v>
      </c>
      <c r="BE233" s="179">
        <f t="shared" si="209"/>
        <v>3.3304010629652082E-2</v>
      </c>
      <c r="BF233" s="179">
        <f t="shared" si="209"/>
        <v>2.6113487995821964E-2</v>
      </c>
      <c r="BG233" s="179">
        <f t="shared" si="209"/>
        <v>3.3301333265482673E-2</v>
      </c>
      <c r="BH233" s="179">
        <f t="shared" si="209"/>
        <v>3.2537392889883346E-2</v>
      </c>
    </row>
    <row r="234" spans="2:68" s="87" customFormat="1" x14ac:dyDescent="0.25">
      <c r="B234" s="84"/>
      <c r="C234" s="85"/>
      <c r="D234" s="85"/>
      <c r="E234" s="109" t="s">
        <v>5</v>
      </c>
      <c r="F234" s="110" t="s">
        <v>61</v>
      </c>
      <c r="G234" s="195" t="s">
        <v>7</v>
      </c>
      <c r="H234" s="69">
        <v>407129</v>
      </c>
      <c r="I234" s="69">
        <v>411845</v>
      </c>
      <c r="J234" s="69">
        <v>410964</v>
      </c>
      <c r="K234" s="69">
        <v>413026</v>
      </c>
      <c r="L234" s="69">
        <v>418629</v>
      </c>
      <c r="M234" s="69">
        <v>421424</v>
      </c>
      <c r="N234" s="69">
        <v>419419</v>
      </c>
      <c r="O234" s="69">
        <v>416948</v>
      </c>
      <c r="P234" s="69">
        <v>420493</v>
      </c>
      <c r="R234" s="195" t="s">
        <v>7</v>
      </c>
      <c r="S234" s="226">
        <v>1.3</v>
      </c>
      <c r="T234" s="226">
        <v>1</v>
      </c>
      <c r="U234" s="226">
        <v>0.9</v>
      </c>
      <c r="V234" s="226">
        <v>1</v>
      </c>
      <c r="W234" s="226">
        <v>1</v>
      </c>
      <c r="X234" s="226">
        <v>1.2</v>
      </c>
      <c r="Y234" s="226">
        <v>1</v>
      </c>
      <c r="Z234" s="226">
        <v>1</v>
      </c>
      <c r="AA234" s="226">
        <v>1</v>
      </c>
      <c r="AC234" s="195" t="s">
        <v>7</v>
      </c>
      <c r="AD234" s="69">
        <f t="shared" si="181"/>
        <v>10585.354000000001</v>
      </c>
      <c r="AE234" s="69">
        <f t="shared" si="181"/>
        <v>8236.9</v>
      </c>
      <c r="AF234" s="69">
        <f t="shared" si="214"/>
        <v>7397.3520000000008</v>
      </c>
      <c r="AG234" s="69">
        <f t="shared" si="214"/>
        <v>8260.52</v>
      </c>
      <c r="AH234" s="69">
        <f t="shared" si="214"/>
        <v>8372.58</v>
      </c>
      <c r="AI234" s="69">
        <f t="shared" si="214"/>
        <v>10114.175999999999</v>
      </c>
      <c r="AJ234" s="69">
        <f t="shared" si="214"/>
        <v>8388.3799999999992</v>
      </c>
      <c r="AK234" s="69">
        <f t="shared" si="214"/>
        <v>8338.9599999999991</v>
      </c>
      <c r="AL234" s="69">
        <f t="shared" si="214"/>
        <v>8409.86</v>
      </c>
      <c r="AN234" s="195" t="s">
        <v>7</v>
      </c>
      <c r="AO234" s="98">
        <f t="shared" ref="AO234:AW234" si="218">H234/H234</f>
        <v>1</v>
      </c>
      <c r="AP234" s="98">
        <f t="shared" si="218"/>
        <v>1</v>
      </c>
      <c r="AQ234" s="98">
        <f t="shared" si="218"/>
        <v>1</v>
      </c>
      <c r="AR234" s="98">
        <f t="shared" si="218"/>
        <v>1</v>
      </c>
      <c r="AS234" s="98">
        <f t="shared" si="218"/>
        <v>1</v>
      </c>
      <c r="AT234" s="98">
        <f t="shared" si="218"/>
        <v>1</v>
      </c>
      <c r="AU234" s="98">
        <f t="shared" si="218"/>
        <v>1</v>
      </c>
      <c r="AV234" s="98">
        <f t="shared" si="218"/>
        <v>1</v>
      </c>
      <c r="AW234" s="98">
        <f t="shared" si="218"/>
        <v>1</v>
      </c>
      <c r="AX234" s="191"/>
      <c r="AY234" s="195" t="s">
        <v>7</v>
      </c>
      <c r="AZ234" s="178">
        <f t="shared" si="211"/>
        <v>2.6000000000000002E-2</v>
      </c>
      <c r="BA234" s="178">
        <f t="shared" si="211"/>
        <v>0.02</v>
      </c>
      <c r="BB234" s="178">
        <f t="shared" si="211"/>
        <v>1.8000000000000002E-2</v>
      </c>
      <c r="BC234" s="178">
        <f t="shared" si="209"/>
        <v>0.02</v>
      </c>
      <c r="BD234" s="178">
        <f t="shared" si="209"/>
        <v>0.02</v>
      </c>
      <c r="BE234" s="178">
        <f t="shared" si="209"/>
        <v>2.4E-2</v>
      </c>
      <c r="BF234" s="178">
        <f t="shared" si="209"/>
        <v>0.02</v>
      </c>
      <c r="BG234" s="178">
        <f t="shared" si="209"/>
        <v>0.02</v>
      </c>
      <c r="BH234" s="178">
        <f t="shared" si="209"/>
        <v>0.02</v>
      </c>
      <c r="BI234" s="191"/>
      <c r="BJ234" s="191"/>
      <c r="BK234" s="191"/>
      <c r="BL234" s="191"/>
      <c r="BM234" s="191"/>
      <c r="BN234" s="191"/>
      <c r="BO234" s="191"/>
      <c r="BP234" s="191"/>
    </row>
    <row r="235" spans="2:68" s="108" customFormat="1" x14ac:dyDescent="0.25">
      <c r="B235" s="107"/>
      <c r="E235" s="109" t="s">
        <v>5</v>
      </c>
      <c r="F235" s="110" t="s">
        <v>61</v>
      </c>
      <c r="G235" s="111" t="s">
        <v>54</v>
      </c>
      <c r="H235" s="112">
        <v>107154</v>
      </c>
      <c r="I235" s="112">
        <v>109954</v>
      </c>
      <c r="J235" s="112">
        <v>88755</v>
      </c>
      <c r="K235" s="112">
        <v>90944</v>
      </c>
      <c r="L235" s="112">
        <v>90319</v>
      </c>
      <c r="M235" s="112">
        <v>88834</v>
      </c>
      <c r="N235" s="112">
        <v>83621</v>
      </c>
      <c r="O235" s="112">
        <v>70580</v>
      </c>
      <c r="P235" s="112">
        <v>65494</v>
      </c>
      <c r="R235" s="111" t="s">
        <v>54</v>
      </c>
      <c r="S235" s="220">
        <v>4.5</v>
      </c>
      <c r="T235" s="220">
        <v>5.5</v>
      </c>
      <c r="U235" s="220">
        <v>5.3</v>
      </c>
      <c r="V235" s="220">
        <v>5.0999999999999996</v>
      </c>
      <c r="W235" s="220">
        <v>5.6</v>
      </c>
      <c r="X235" s="220">
        <v>6</v>
      </c>
      <c r="Y235" s="220">
        <v>5.9</v>
      </c>
      <c r="Z235" s="220">
        <v>6.7</v>
      </c>
      <c r="AA235" s="220">
        <v>6.8</v>
      </c>
      <c r="AC235" s="111" t="s">
        <v>54</v>
      </c>
      <c r="AD235" s="112">
        <f t="shared" si="181"/>
        <v>9643.86</v>
      </c>
      <c r="AE235" s="112">
        <f t="shared" si="181"/>
        <v>12094.94</v>
      </c>
      <c r="AF235" s="112">
        <f t="shared" si="214"/>
        <v>9408.0300000000007</v>
      </c>
      <c r="AG235" s="112">
        <f t="shared" si="214"/>
        <v>9276.2879999999986</v>
      </c>
      <c r="AH235" s="112">
        <f t="shared" si="214"/>
        <v>10115.727999999999</v>
      </c>
      <c r="AI235" s="112">
        <f t="shared" si="214"/>
        <v>10660.08</v>
      </c>
      <c r="AJ235" s="112">
        <f t="shared" si="214"/>
        <v>9867.2780000000002</v>
      </c>
      <c r="AK235" s="112">
        <f t="shared" si="214"/>
        <v>9457.7199999999993</v>
      </c>
      <c r="AL235" s="112">
        <f t="shared" si="214"/>
        <v>8907.1840000000011</v>
      </c>
      <c r="AN235" s="111" t="s">
        <v>54</v>
      </c>
      <c r="AO235" s="113">
        <f t="shared" ref="AO235:AW235" si="219">H235/H234</f>
        <v>0.26319422099629358</v>
      </c>
      <c r="AP235" s="113">
        <f t="shared" si="219"/>
        <v>0.26697908193616532</v>
      </c>
      <c r="AQ235" s="113">
        <f t="shared" si="219"/>
        <v>0.21596782199900721</v>
      </c>
      <c r="AR235" s="113">
        <f t="shared" si="219"/>
        <v>0.22018952802002781</v>
      </c>
      <c r="AS235" s="113">
        <f t="shared" si="219"/>
        <v>0.21574950612594923</v>
      </c>
      <c r="AT235" s="113">
        <f t="shared" si="219"/>
        <v>0.21079482896085652</v>
      </c>
      <c r="AU235" s="113">
        <f t="shared" si="219"/>
        <v>0.19937341894382468</v>
      </c>
      <c r="AV235" s="113">
        <f t="shared" si="219"/>
        <v>0.16927770369446549</v>
      </c>
      <c r="AW235" s="113">
        <f t="shared" si="219"/>
        <v>0.15575526822087407</v>
      </c>
      <c r="AY235" s="111" t="s">
        <v>54</v>
      </c>
      <c r="AZ235" s="179">
        <f t="shared" si="211"/>
        <v>2.3687479889666421E-2</v>
      </c>
      <c r="BA235" s="179">
        <f t="shared" si="211"/>
        <v>2.9367699012978185E-2</v>
      </c>
      <c r="BB235" s="179">
        <f t="shared" si="211"/>
        <v>2.2892589131894764E-2</v>
      </c>
      <c r="BC235" s="179">
        <f t="shared" si="209"/>
        <v>2.2459331858042834E-2</v>
      </c>
      <c r="BD235" s="179">
        <f t="shared" si="209"/>
        <v>2.416394468610631E-2</v>
      </c>
      <c r="BE235" s="179">
        <f t="shared" si="209"/>
        <v>2.5295379475302783E-2</v>
      </c>
      <c r="BF235" s="179">
        <f t="shared" si="209"/>
        <v>2.3526063435371315E-2</v>
      </c>
      <c r="BG235" s="179">
        <f t="shared" si="209"/>
        <v>2.2683212295058378E-2</v>
      </c>
      <c r="BH235" s="179">
        <f t="shared" si="209"/>
        <v>2.1182716478038873E-2</v>
      </c>
    </row>
    <row r="236" spans="2:68" s="108" customFormat="1" x14ac:dyDescent="0.25">
      <c r="B236" s="107"/>
      <c r="E236" s="109" t="s">
        <v>5</v>
      </c>
      <c r="F236" s="110" t="s">
        <v>61</v>
      </c>
      <c r="G236" s="111" t="s">
        <v>55</v>
      </c>
      <c r="H236" s="70">
        <v>98658</v>
      </c>
      <c r="I236" s="70">
        <v>107411</v>
      </c>
      <c r="J236" s="70">
        <v>113574</v>
      </c>
      <c r="K236" s="70">
        <v>112354</v>
      </c>
      <c r="L236" s="70">
        <v>112648</v>
      </c>
      <c r="M236" s="70">
        <v>114948</v>
      </c>
      <c r="N236" s="70">
        <v>121044</v>
      </c>
      <c r="O236" s="112">
        <v>113780</v>
      </c>
      <c r="P236" s="112">
        <v>108109</v>
      </c>
      <c r="R236" s="111" t="s">
        <v>55</v>
      </c>
      <c r="S236" s="81">
        <v>4.5999999999999996</v>
      </c>
      <c r="T236" s="81">
        <v>5.5</v>
      </c>
      <c r="U236" s="81">
        <v>5</v>
      </c>
      <c r="V236" s="81">
        <v>4.8</v>
      </c>
      <c r="W236" s="81">
        <v>5.5</v>
      </c>
      <c r="X236" s="81">
        <v>5.8</v>
      </c>
      <c r="Y236" s="81">
        <v>5.4</v>
      </c>
      <c r="Z236" s="81">
        <v>5.5</v>
      </c>
      <c r="AA236" s="81">
        <v>5.3</v>
      </c>
      <c r="AC236" s="111" t="s">
        <v>55</v>
      </c>
      <c r="AD236" s="70">
        <f t="shared" si="181"/>
        <v>9076.5360000000001</v>
      </c>
      <c r="AE236" s="70">
        <f t="shared" si="181"/>
        <v>11815.21</v>
      </c>
      <c r="AF236" s="70">
        <f t="shared" si="214"/>
        <v>11357.4</v>
      </c>
      <c r="AG236" s="70">
        <f t="shared" si="214"/>
        <v>10785.983999999999</v>
      </c>
      <c r="AH236" s="70">
        <f t="shared" si="214"/>
        <v>12391.28</v>
      </c>
      <c r="AI236" s="70">
        <f t="shared" si="214"/>
        <v>13333.968000000001</v>
      </c>
      <c r="AJ236" s="70">
        <f t="shared" si="214"/>
        <v>13072.752000000002</v>
      </c>
      <c r="AK236" s="70">
        <f t="shared" si="214"/>
        <v>12515.8</v>
      </c>
      <c r="AL236" s="70">
        <f t="shared" si="214"/>
        <v>11459.553999999998</v>
      </c>
      <c r="AN236" s="111" t="s">
        <v>55</v>
      </c>
      <c r="AO236" s="113">
        <f t="shared" ref="AO236:AW236" si="220">H236/H234</f>
        <v>0.24232614232835292</v>
      </c>
      <c r="AP236" s="113">
        <f t="shared" si="220"/>
        <v>0.26080442885065985</v>
      </c>
      <c r="AQ236" s="113">
        <f t="shared" si="220"/>
        <v>0.27635997313633309</v>
      </c>
      <c r="AR236" s="113">
        <f t="shared" si="220"/>
        <v>0.27202645838276523</v>
      </c>
      <c r="AS236" s="113">
        <f t="shared" si="220"/>
        <v>0.26908790360916229</v>
      </c>
      <c r="AT236" s="113">
        <f t="shared" si="220"/>
        <v>0.27276092486426973</v>
      </c>
      <c r="AU236" s="113">
        <f t="shared" si="220"/>
        <v>0.28859922893335782</v>
      </c>
      <c r="AV236" s="113">
        <f t="shared" si="220"/>
        <v>0.27288774619376999</v>
      </c>
      <c r="AW236" s="113">
        <f t="shared" si="220"/>
        <v>0.25710059382677003</v>
      </c>
      <c r="AY236" s="111" t="s">
        <v>55</v>
      </c>
      <c r="AZ236" s="179">
        <f t="shared" si="211"/>
        <v>2.229400509420847E-2</v>
      </c>
      <c r="BA236" s="179">
        <f t="shared" si="211"/>
        <v>2.8688487173572582E-2</v>
      </c>
      <c r="BB236" s="179">
        <f t="shared" si="211"/>
        <v>2.7635997313633309E-2</v>
      </c>
      <c r="BC236" s="179">
        <f t="shared" si="209"/>
        <v>2.6114540004745463E-2</v>
      </c>
      <c r="BD236" s="179">
        <f t="shared" si="209"/>
        <v>2.9599669397007852E-2</v>
      </c>
      <c r="BE236" s="179">
        <f t="shared" si="209"/>
        <v>3.1640267284255286E-2</v>
      </c>
      <c r="BF236" s="179">
        <f t="shared" si="209"/>
        <v>3.1168716724802644E-2</v>
      </c>
      <c r="BG236" s="179">
        <f t="shared" si="209"/>
        <v>3.00176520813147E-2</v>
      </c>
      <c r="BH236" s="179">
        <f t="shared" si="209"/>
        <v>2.7252662945637621E-2</v>
      </c>
    </row>
    <row r="237" spans="2:68" s="108" customFormat="1" x14ac:dyDescent="0.25">
      <c r="B237" s="107"/>
      <c r="E237" s="109" t="s">
        <v>5</v>
      </c>
      <c r="F237" s="110" t="s">
        <v>61</v>
      </c>
      <c r="G237" s="111" t="s">
        <v>130</v>
      </c>
      <c r="H237" s="70">
        <v>53456</v>
      </c>
      <c r="I237" s="70">
        <v>51174</v>
      </c>
      <c r="J237" s="70">
        <v>42666</v>
      </c>
      <c r="K237" s="70">
        <v>48641</v>
      </c>
      <c r="L237" s="70">
        <v>51198</v>
      </c>
      <c r="M237" s="70">
        <v>51059</v>
      </c>
      <c r="N237" s="70">
        <v>47404</v>
      </c>
      <c r="O237" s="112">
        <v>51337</v>
      </c>
      <c r="P237" s="112">
        <v>55225</v>
      </c>
      <c r="R237" s="111" t="s">
        <v>130</v>
      </c>
      <c r="S237" s="220">
        <v>6.6</v>
      </c>
      <c r="T237" s="220">
        <v>8.1</v>
      </c>
      <c r="U237" s="220">
        <v>8.1</v>
      </c>
      <c r="V237" s="220">
        <v>7.4</v>
      </c>
      <c r="W237" s="220">
        <v>7.9</v>
      </c>
      <c r="X237" s="220">
        <v>8.5</v>
      </c>
      <c r="Y237" s="220">
        <v>8.3000000000000007</v>
      </c>
      <c r="Z237" s="220">
        <v>7.9</v>
      </c>
      <c r="AA237" s="220">
        <v>7.4</v>
      </c>
      <c r="AC237" s="111" t="s">
        <v>130</v>
      </c>
      <c r="AD237" s="70">
        <f t="shared" si="181"/>
        <v>7056.1919999999991</v>
      </c>
      <c r="AE237" s="70">
        <f t="shared" si="181"/>
        <v>8290.1880000000001</v>
      </c>
      <c r="AF237" s="70">
        <f t="shared" si="214"/>
        <v>6911.8919999999998</v>
      </c>
      <c r="AG237" s="70">
        <f t="shared" si="214"/>
        <v>7198.8680000000004</v>
      </c>
      <c r="AH237" s="70">
        <f t="shared" si="214"/>
        <v>8089.2840000000006</v>
      </c>
      <c r="AI237" s="70">
        <f t="shared" si="214"/>
        <v>8680.0300000000007</v>
      </c>
      <c r="AJ237" s="70">
        <f t="shared" si="214"/>
        <v>7869.0640000000003</v>
      </c>
      <c r="AK237" s="70">
        <f t="shared" si="214"/>
        <v>8111.246000000001</v>
      </c>
      <c r="AL237" s="70">
        <f t="shared" si="214"/>
        <v>8173.3</v>
      </c>
      <c r="AN237" s="111" t="s">
        <v>130</v>
      </c>
      <c r="AO237" s="113">
        <f t="shared" ref="AO237:AW237" si="221">H237/H234</f>
        <v>0.13129990740035713</v>
      </c>
      <c r="AP237" s="113">
        <f t="shared" si="221"/>
        <v>0.12425548446624336</v>
      </c>
      <c r="AQ237" s="113">
        <f t="shared" si="221"/>
        <v>0.10381931264052326</v>
      </c>
      <c r="AR237" s="113">
        <f t="shared" si="221"/>
        <v>0.11776740447332613</v>
      </c>
      <c r="AS237" s="113">
        <f t="shared" si="221"/>
        <v>0.12229921959539354</v>
      </c>
      <c r="AT237" s="113">
        <f t="shared" si="221"/>
        <v>0.12115826341167091</v>
      </c>
      <c r="AU237" s="113">
        <f t="shared" si="221"/>
        <v>0.11302301517098653</v>
      </c>
      <c r="AV237" s="113">
        <f t="shared" si="221"/>
        <v>0.12312566555062023</v>
      </c>
      <c r="AW237" s="113">
        <f t="shared" si="221"/>
        <v>0.13133393421531392</v>
      </c>
      <c r="AY237" s="111" t="s">
        <v>130</v>
      </c>
      <c r="AZ237" s="179">
        <f t="shared" si="211"/>
        <v>1.7331587776847138E-2</v>
      </c>
      <c r="BA237" s="179">
        <f t="shared" si="211"/>
        <v>2.0129388483531425E-2</v>
      </c>
      <c r="BB237" s="179">
        <f t="shared" si="211"/>
        <v>1.6818728647764767E-2</v>
      </c>
      <c r="BC237" s="179">
        <f t="shared" si="209"/>
        <v>1.7429575862052269E-2</v>
      </c>
      <c r="BD237" s="179">
        <f t="shared" si="209"/>
        <v>1.9323276696072179E-2</v>
      </c>
      <c r="BE237" s="179">
        <f t="shared" si="209"/>
        <v>2.0596904779984056E-2</v>
      </c>
      <c r="BF237" s="179">
        <f t="shared" si="209"/>
        <v>1.8761820518383768E-2</v>
      </c>
      <c r="BG237" s="179">
        <f t="shared" si="209"/>
        <v>1.9453855156997997E-2</v>
      </c>
      <c r="BH237" s="179">
        <f t="shared" si="209"/>
        <v>1.9437422263866463E-2</v>
      </c>
    </row>
    <row r="238" spans="2:68" s="108" customFormat="1" x14ac:dyDescent="0.25">
      <c r="B238" s="107"/>
      <c r="E238" s="109" t="s">
        <v>5</v>
      </c>
      <c r="F238" s="110" t="s">
        <v>61</v>
      </c>
      <c r="G238" s="111" t="s">
        <v>131</v>
      </c>
      <c r="H238" s="112">
        <v>147791</v>
      </c>
      <c r="I238" s="112">
        <v>162038</v>
      </c>
      <c r="J238" s="112">
        <v>165865</v>
      </c>
      <c r="K238" s="112">
        <v>160465</v>
      </c>
      <c r="L238" s="112">
        <v>164271</v>
      </c>
      <c r="M238" s="112">
        <v>166353</v>
      </c>
      <c r="N238" s="112">
        <v>166013</v>
      </c>
      <c r="O238" s="112">
        <v>181251</v>
      </c>
      <c r="P238" s="112">
        <v>191665</v>
      </c>
      <c r="R238" s="111" t="s">
        <v>131</v>
      </c>
      <c r="S238" s="220">
        <v>3.9</v>
      </c>
      <c r="T238" s="220">
        <v>3.4</v>
      </c>
      <c r="U238" s="220">
        <v>3.6</v>
      </c>
      <c r="V238" s="220">
        <v>3.1</v>
      </c>
      <c r="W238" s="220">
        <v>3.4</v>
      </c>
      <c r="X238" s="220">
        <v>4.5999999999999996</v>
      </c>
      <c r="Y238" s="220">
        <v>3.8</v>
      </c>
      <c r="Z238" s="220">
        <v>4.3</v>
      </c>
      <c r="AA238" s="220">
        <v>4.2</v>
      </c>
      <c r="AC238" s="111" t="s">
        <v>131</v>
      </c>
      <c r="AD238" s="112">
        <f t="shared" si="181"/>
        <v>11527.698</v>
      </c>
      <c r="AE238" s="112">
        <f t="shared" si="181"/>
        <v>11018.583999999999</v>
      </c>
      <c r="AF238" s="112">
        <f t="shared" si="214"/>
        <v>11942.28</v>
      </c>
      <c r="AG238" s="112">
        <f t="shared" si="214"/>
        <v>9948.83</v>
      </c>
      <c r="AH238" s="112">
        <f t="shared" si="214"/>
        <v>11170.428</v>
      </c>
      <c r="AI238" s="112">
        <f t="shared" si="214"/>
        <v>15304.475999999999</v>
      </c>
      <c r="AJ238" s="112">
        <f t="shared" si="214"/>
        <v>12616.988000000001</v>
      </c>
      <c r="AK238" s="112">
        <f t="shared" si="214"/>
        <v>15587.585999999999</v>
      </c>
      <c r="AL238" s="112">
        <f t="shared" si="214"/>
        <v>16099.86</v>
      </c>
      <c r="AN238" s="111" t="s">
        <v>131</v>
      </c>
      <c r="AO238" s="113">
        <f t="shared" ref="AO238:AW238" si="222">H238/H234</f>
        <v>0.36300779359858915</v>
      </c>
      <c r="AP238" s="113">
        <f t="shared" si="222"/>
        <v>0.39344413553642754</v>
      </c>
      <c r="AQ238" s="113">
        <f t="shared" si="222"/>
        <v>0.40359982869545752</v>
      </c>
      <c r="AR238" s="113">
        <f t="shared" si="222"/>
        <v>0.38851065066121743</v>
      </c>
      <c r="AS238" s="113">
        <f t="shared" si="222"/>
        <v>0.39240234193044438</v>
      </c>
      <c r="AT238" s="113">
        <f t="shared" si="222"/>
        <v>0.39474021413113636</v>
      </c>
      <c r="AU238" s="113">
        <f t="shared" si="222"/>
        <v>0.39581659390728602</v>
      </c>
      <c r="AV238" s="113">
        <f t="shared" si="222"/>
        <v>0.43470888456114432</v>
      </c>
      <c r="AW238" s="113">
        <f t="shared" si="222"/>
        <v>0.45581020373704201</v>
      </c>
      <c r="AY238" s="111" t="s">
        <v>131</v>
      </c>
      <c r="AZ238" s="179">
        <f t="shared" si="211"/>
        <v>2.8314607900689955E-2</v>
      </c>
      <c r="BA238" s="179">
        <f t="shared" si="211"/>
        <v>2.6754201216477074E-2</v>
      </c>
      <c r="BB238" s="179">
        <f t="shared" si="211"/>
        <v>2.9059187666072944E-2</v>
      </c>
      <c r="BC238" s="179">
        <f t="shared" si="209"/>
        <v>2.4087660340995479E-2</v>
      </c>
      <c r="BD238" s="179">
        <f t="shared" si="209"/>
        <v>2.6683359251270217E-2</v>
      </c>
      <c r="BE238" s="179">
        <f t="shared" si="209"/>
        <v>3.6316099700064546E-2</v>
      </c>
      <c r="BF238" s="179">
        <f t="shared" si="209"/>
        <v>3.0082061136953733E-2</v>
      </c>
      <c r="BG238" s="179">
        <f t="shared" si="209"/>
        <v>3.7384964072258414E-2</v>
      </c>
      <c r="BH238" s="179">
        <f t="shared" si="209"/>
        <v>3.8288057113911533E-2</v>
      </c>
    </row>
    <row r="239" spans="2:68" x14ac:dyDescent="0.3">
      <c r="H239" s="122" t="s">
        <v>122</v>
      </c>
      <c r="I239" s="122">
        <v>2003</v>
      </c>
      <c r="J239" s="122">
        <v>2005</v>
      </c>
      <c r="K239" s="122" t="s">
        <v>123</v>
      </c>
      <c r="L239" s="122" t="s">
        <v>124</v>
      </c>
      <c r="M239" s="122" t="s">
        <v>125</v>
      </c>
      <c r="N239" s="122" t="s">
        <v>126</v>
      </c>
      <c r="O239" s="122" t="s">
        <v>127</v>
      </c>
      <c r="P239" s="122" t="s">
        <v>128</v>
      </c>
      <c r="R239" s="111"/>
      <c r="S239" s="120" t="s">
        <v>122</v>
      </c>
      <c r="T239" s="121">
        <v>2003</v>
      </c>
      <c r="U239" s="121">
        <v>2005</v>
      </c>
      <c r="V239" s="122" t="s">
        <v>123</v>
      </c>
      <c r="W239" s="122" t="s">
        <v>124</v>
      </c>
      <c r="X239" s="122" t="s">
        <v>125</v>
      </c>
      <c r="Y239" s="122" t="s">
        <v>126</v>
      </c>
      <c r="Z239" s="122" t="s">
        <v>127</v>
      </c>
      <c r="AA239" s="122" t="s">
        <v>128</v>
      </c>
      <c r="AC239" s="197" t="s">
        <v>8</v>
      </c>
      <c r="AD239" s="120" t="s">
        <v>122</v>
      </c>
      <c r="AE239" s="121">
        <v>2003</v>
      </c>
      <c r="AF239" s="121">
        <v>2005</v>
      </c>
      <c r="AG239" s="122" t="s">
        <v>123</v>
      </c>
      <c r="AH239" s="122" t="s">
        <v>124</v>
      </c>
      <c r="AI239" s="122" t="s">
        <v>125</v>
      </c>
      <c r="AJ239" s="122" t="s">
        <v>126</v>
      </c>
      <c r="AK239" s="122" t="s">
        <v>127</v>
      </c>
      <c r="AL239" s="122" t="s">
        <v>128</v>
      </c>
      <c r="AN239" s="197" t="s">
        <v>8</v>
      </c>
      <c r="AO239" s="120" t="s">
        <v>122</v>
      </c>
      <c r="AP239" s="121">
        <v>2003</v>
      </c>
      <c r="AQ239" s="121">
        <v>2005</v>
      </c>
      <c r="AR239" s="122" t="s">
        <v>123</v>
      </c>
      <c r="AS239" s="122" t="s">
        <v>124</v>
      </c>
      <c r="AT239" s="122" t="s">
        <v>125</v>
      </c>
      <c r="AU239" s="122" t="s">
        <v>126</v>
      </c>
      <c r="AV239" s="122" t="s">
        <v>127</v>
      </c>
      <c r="AW239" s="122" t="s">
        <v>128</v>
      </c>
      <c r="AY239" s="197" t="s">
        <v>8</v>
      </c>
      <c r="AZ239" s="120" t="s">
        <v>122</v>
      </c>
      <c r="BA239" s="121">
        <v>2003</v>
      </c>
      <c r="BB239" s="121">
        <v>2005</v>
      </c>
      <c r="BC239" s="122" t="s">
        <v>123</v>
      </c>
      <c r="BD239" s="122" t="s">
        <v>124</v>
      </c>
      <c r="BE239" s="122" t="s">
        <v>125</v>
      </c>
      <c r="BF239" s="122" t="s">
        <v>126</v>
      </c>
      <c r="BG239" s="122" t="s">
        <v>127</v>
      </c>
      <c r="BH239" s="122" t="s">
        <v>128</v>
      </c>
    </row>
    <row r="240" spans="2:68" s="87" customFormat="1" x14ac:dyDescent="0.25">
      <c r="B240" s="84"/>
      <c r="C240" s="85"/>
      <c r="D240" s="85"/>
      <c r="E240" s="109" t="s">
        <v>0</v>
      </c>
      <c r="F240" s="110" t="s">
        <v>62</v>
      </c>
      <c r="G240" s="195" t="s">
        <v>7</v>
      </c>
      <c r="H240" s="69">
        <v>78852</v>
      </c>
      <c r="I240" s="69">
        <v>77954</v>
      </c>
      <c r="J240" s="69">
        <v>75530</v>
      </c>
      <c r="K240" s="69">
        <v>73372</v>
      </c>
      <c r="L240" s="69">
        <v>71155</v>
      </c>
      <c r="M240" s="69">
        <v>68215</v>
      </c>
      <c r="N240" s="69">
        <v>64871</v>
      </c>
      <c r="O240" s="69">
        <v>60847</v>
      </c>
      <c r="P240" s="69">
        <v>62957</v>
      </c>
      <c r="R240" s="195" t="s">
        <v>7</v>
      </c>
      <c r="S240" s="226">
        <v>1.6</v>
      </c>
      <c r="T240" s="226">
        <v>1.8</v>
      </c>
      <c r="U240" s="226">
        <v>1.7</v>
      </c>
      <c r="V240" s="226">
        <v>1.7</v>
      </c>
      <c r="W240" s="226">
        <v>1.9</v>
      </c>
      <c r="X240" s="226">
        <v>2</v>
      </c>
      <c r="Y240" s="226">
        <v>2</v>
      </c>
      <c r="Z240" s="226">
        <v>2.5</v>
      </c>
      <c r="AA240" s="226">
        <v>2.2000000000000002</v>
      </c>
      <c r="AC240" s="195" t="s">
        <v>7</v>
      </c>
      <c r="AD240" s="69">
        <f>2*(H240*S240/100)</f>
        <v>2523.2640000000001</v>
      </c>
      <c r="AE240" s="69">
        <f t="shared" ref="AE240:AL272" si="223">2*(I240*T240/100)</f>
        <v>2806.3440000000001</v>
      </c>
      <c r="AF240" s="69">
        <f t="shared" si="223"/>
        <v>2568.02</v>
      </c>
      <c r="AG240" s="69">
        <f t="shared" si="223"/>
        <v>2494.6479999999997</v>
      </c>
      <c r="AH240" s="69">
        <f t="shared" si="223"/>
        <v>2703.89</v>
      </c>
      <c r="AI240" s="69">
        <f t="shared" si="223"/>
        <v>2728.6</v>
      </c>
      <c r="AJ240" s="69">
        <f t="shared" si="223"/>
        <v>2594.84</v>
      </c>
      <c r="AK240" s="69">
        <f>2*(O240*Z240/100)</f>
        <v>3042.35</v>
      </c>
      <c r="AL240" s="69">
        <f>2*(P240*AA240/100)</f>
        <v>2770.1080000000006</v>
      </c>
      <c r="AN240" s="195" t="s">
        <v>7</v>
      </c>
      <c r="AO240" s="98">
        <f t="shared" ref="AO240:AW240" si="224">H240/H240</f>
        <v>1</v>
      </c>
      <c r="AP240" s="98">
        <f t="shared" si="224"/>
        <v>1</v>
      </c>
      <c r="AQ240" s="98">
        <f t="shared" si="224"/>
        <v>1</v>
      </c>
      <c r="AR240" s="98">
        <f t="shared" si="224"/>
        <v>1</v>
      </c>
      <c r="AS240" s="98">
        <f t="shared" si="224"/>
        <v>1</v>
      </c>
      <c r="AT240" s="98">
        <f t="shared" si="224"/>
        <v>1</v>
      </c>
      <c r="AU240" s="98">
        <f t="shared" si="224"/>
        <v>1</v>
      </c>
      <c r="AV240" s="98">
        <f t="shared" si="224"/>
        <v>1</v>
      </c>
      <c r="AW240" s="98">
        <f t="shared" si="224"/>
        <v>1</v>
      </c>
      <c r="AX240" s="191"/>
      <c r="AY240" s="195" t="s">
        <v>7</v>
      </c>
      <c r="AZ240" s="178">
        <f t="shared" ref="AZ240:BH268" si="225">2*(S240*AO240/100)</f>
        <v>3.2000000000000001E-2</v>
      </c>
      <c r="BA240" s="178">
        <f t="shared" si="225"/>
        <v>3.6000000000000004E-2</v>
      </c>
      <c r="BB240" s="178">
        <f t="shared" si="225"/>
        <v>3.4000000000000002E-2</v>
      </c>
      <c r="BC240" s="178">
        <f t="shared" si="225"/>
        <v>3.4000000000000002E-2</v>
      </c>
      <c r="BD240" s="178">
        <f t="shared" si="225"/>
        <v>3.7999999999999999E-2</v>
      </c>
      <c r="BE240" s="178">
        <f t="shared" si="225"/>
        <v>0.04</v>
      </c>
      <c r="BF240" s="178">
        <f t="shared" si="225"/>
        <v>0.04</v>
      </c>
      <c r="BG240" s="178">
        <f t="shared" si="225"/>
        <v>0.05</v>
      </c>
      <c r="BH240" s="178">
        <f t="shared" si="225"/>
        <v>4.4000000000000004E-2</v>
      </c>
      <c r="BI240" s="191"/>
      <c r="BJ240" s="191"/>
      <c r="BK240" s="191"/>
      <c r="BL240" s="191"/>
      <c r="BM240" s="191"/>
      <c r="BN240" s="191"/>
      <c r="BO240" s="191"/>
      <c r="BP240" s="191"/>
    </row>
    <row r="241" spans="2:68" s="108" customFormat="1" x14ac:dyDescent="0.25">
      <c r="B241" s="107"/>
      <c r="E241" s="109" t="s">
        <v>0</v>
      </c>
      <c r="F241" s="110" t="s">
        <v>62</v>
      </c>
      <c r="G241" s="111" t="s">
        <v>54</v>
      </c>
      <c r="H241" s="112">
        <v>12596</v>
      </c>
      <c r="I241" s="112">
        <v>11223</v>
      </c>
      <c r="J241" s="112">
        <v>7427</v>
      </c>
      <c r="K241" s="112">
        <v>8392</v>
      </c>
      <c r="L241" s="112">
        <v>6165</v>
      </c>
      <c r="M241" s="112">
        <v>7129</v>
      </c>
      <c r="N241" s="112" t="s">
        <v>129</v>
      </c>
      <c r="O241" s="112" t="s">
        <v>129</v>
      </c>
      <c r="P241" s="112" t="s">
        <v>129</v>
      </c>
      <c r="R241" s="111" t="s">
        <v>54</v>
      </c>
      <c r="S241" s="220">
        <v>12.5</v>
      </c>
      <c r="T241" s="220">
        <v>14.1</v>
      </c>
      <c r="U241" s="220">
        <v>17</v>
      </c>
      <c r="V241" s="220">
        <v>14.8</v>
      </c>
      <c r="W241" s="220">
        <v>17.7</v>
      </c>
      <c r="X241" s="220">
        <v>19.3</v>
      </c>
      <c r="Y241" s="220" t="s">
        <v>57</v>
      </c>
      <c r="Z241" s="220" t="s">
        <v>129</v>
      </c>
      <c r="AA241" s="220" t="s">
        <v>129</v>
      </c>
      <c r="AC241" s="111" t="s">
        <v>54</v>
      </c>
      <c r="AD241" s="112">
        <f>2*(H241*S241/100)</f>
        <v>3149</v>
      </c>
      <c r="AE241" s="112">
        <f t="shared" si="223"/>
        <v>3164.886</v>
      </c>
      <c r="AF241" s="112">
        <f t="shared" si="223"/>
        <v>2525.1799999999998</v>
      </c>
      <c r="AG241" s="112">
        <f t="shared" si="223"/>
        <v>2484.0320000000002</v>
      </c>
      <c r="AH241" s="112">
        <f t="shared" si="223"/>
        <v>2182.41</v>
      </c>
      <c r="AI241" s="112">
        <f t="shared" si="223"/>
        <v>2751.7940000000003</v>
      </c>
      <c r="AJ241" s="112" t="e">
        <f t="shared" si="223"/>
        <v>#VALUE!</v>
      </c>
      <c r="AK241" s="112" t="e">
        <f t="shared" si="223"/>
        <v>#VALUE!</v>
      </c>
      <c r="AL241" s="112" t="e">
        <f t="shared" si="223"/>
        <v>#VALUE!</v>
      </c>
      <c r="AN241" s="111" t="s">
        <v>54</v>
      </c>
      <c r="AO241" s="113">
        <f t="shared" ref="AO241:AW241" si="226">H241/H240</f>
        <v>0.15974230203419063</v>
      </c>
      <c r="AP241" s="113">
        <f t="shared" si="226"/>
        <v>0.14396952048644071</v>
      </c>
      <c r="AQ241" s="113">
        <f t="shared" si="226"/>
        <v>9.8331788693234473E-2</v>
      </c>
      <c r="AR241" s="113">
        <f t="shared" si="226"/>
        <v>0.11437605626124407</v>
      </c>
      <c r="AS241" s="113">
        <f t="shared" si="226"/>
        <v>8.6641838240460969E-2</v>
      </c>
      <c r="AT241" s="113">
        <f t="shared" si="226"/>
        <v>0.10450780620098218</v>
      </c>
      <c r="AU241" s="113" t="e">
        <f t="shared" si="226"/>
        <v>#VALUE!</v>
      </c>
      <c r="AV241" s="113" t="e">
        <f t="shared" si="226"/>
        <v>#VALUE!</v>
      </c>
      <c r="AW241" s="113" t="e">
        <f t="shared" si="226"/>
        <v>#VALUE!</v>
      </c>
      <c r="AY241" s="111" t="s">
        <v>54</v>
      </c>
      <c r="AZ241" s="179">
        <f t="shared" si="225"/>
        <v>3.9935575508547656E-2</v>
      </c>
      <c r="BA241" s="179">
        <f t="shared" si="225"/>
        <v>4.059940477717628E-2</v>
      </c>
      <c r="BB241" s="179">
        <f t="shared" si="225"/>
        <v>3.3432808155699718E-2</v>
      </c>
      <c r="BC241" s="179">
        <f t="shared" si="225"/>
        <v>3.3855312653328251E-2</v>
      </c>
      <c r="BD241" s="179">
        <f t="shared" si="225"/>
        <v>3.0671210737123183E-2</v>
      </c>
      <c r="BE241" s="179">
        <f t="shared" si="225"/>
        <v>4.0340013193579126E-2</v>
      </c>
      <c r="BF241" s="179" t="e">
        <f t="shared" si="225"/>
        <v>#VALUE!</v>
      </c>
      <c r="BG241" s="179" t="e">
        <f t="shared" si="225"/>
        <v>#VALUE!</v>
      </c>
      <c r="BH241" s="179" t="e">
        <f t="shared" si="225"/>
        <v>#VALUE!</v>
      </c>
    </row>
    <row r="242" spans="2:68" s="108" customFormat="1" x14ac:dyDescent="0.25">
      <c r="B242" s="107"/>
      <c r="E242" s="109" t="s">
        <v>0</v>
      </c>
      <c r="F242" s="110" t="s">
        <v>62</v>
      </c>
      <c r="G242" s="111" t="s">
        <v>55</v>
      </c>
      <c r="H242" s="70">
        <v>3015</v>
      </c>
      <c r="I242" s="70" t="s">
        <v>129</v>
      </c>
      <c r="J242" s="112" t="s">
        <v>129</v>
      </c>
      <c r="K242" s="112" t="s">
        <v>129</v>
      </c>
      <c r="L242" s="112" t="s">
        <v>129</v>
      </c>
      <c r="M242" s="112" t="s">
        <v>129</v>
      </c>
      <c r="N242" s="112" t="s">
        <v>129</v>
      </c>
      <c r="O242" s="112" t="s">
        <v>129</v>
      </c>
      <c r="P242" s="112" t="s">
        <v>129</v>
      </c>
      <c r="R242" s="111" t="s">
        <v>55</v>
      </c>
      <c r="S242" s="81">
        <v>25</v>
      </c>
      <c r="T242" s="81" t="s">
        <v>57</v>
      </c>
      <c r="U242" s="81" t="s">
        <v>57</v>
      </c>
      <c r="V242" s="81" t="s">
        <v>57</v>
      </c>
      <c r="W242" s="81" t="s">
        <v>57</v>
      </c>
      <c r="X242" s="81" t="s">
        <v>57</v>
      </c>
      <c r="Y242" s="81" t="s">
        <v>57</v>
      </c>
      <c r="Z242" s="81" t="s">
        <v>129</v>
      </c>
      <c r="AA242" s="81" t="s">
        <v>129</v>
      </c>
      <c r="AC242" s="111" t="s">
        <v>55</v>
      </c>
      <c r="AD242" s="70">
        <f t="shared" ref="AD242:AE279" si="227">2*(H242*S242/100)</f>
        <v>1507.5</v>
      </c>
      <c r="AE242" s="70" t="e">
        <f t="shared" si="223"/>
        <v>#VALUE!</v>
      </c>
      <c r="AF242" s="70" t="e">
        <f t="shared" si="223"/>
        <v>#VALUE!</v>
      </c>
      <c r="AG242" s="70" t="e">
        <f t="shared" si="223"/>
        <v>#VALUE!</v>
      </c>
      <c r="AH242" s="70" t="e">
        <f t="shared" si="223"/>
        <v>#VALUE!</v>
      </c>
      <c r="AI242" s="70" t="e">
        <f t="shared" si="223"/>
        <v>#VALUE!</v>
      </c>
      <c r="AJ242" s="70" t="e">
        <f t="shared" si="223"/>
        <v>#VALUE!</v>
      </c>
      <c r="AK242" s="70" t="e">
        <f t="shared" si="223"/>
        <v>#VALUE!</v>
      </c>
      <c r="AL242" s="70" t="e">
        <f t="shared" si="223"/>
        <v>#VALUE!</v>
      </c>
      <c r="AN242" s="111" t="s">
        <v>55</v>
      </c>
      <c r="AO242" s="113">
        <f t="shared" ref="AO242:AW242" si="228">H242/H240</f>
        <v>3.823618931669457E-2</v>
      </c>
      <c r="AP242" s="113" t="e">
        <f t="shared" si="228"/>
        <v>#VALUE!</v>
      </c>
      <c r="AQ242" s="113" t="e">
        <f t="shared" si="228"/>
        <v>#VALUE!</v>
      </c>
      <c r="AR242" s="113" t="e">
        <f t="shared" si="228"/>
        <v>#VALUE!</v>
      </c>
      <c r="AS242" s="113" t="e">
        <f t="shared" si="228"/>
        <v>#VALUE!</v>
      </c>
      <c r="AT242" s="113" t="e">
        <f t="shared" si="228"/>
        <v>#VALUE!</v>
      </c>
      <c r="AU242" s="113" t="e">
        <f t="shared" si="228"/>
        <v>#VALUE!</v>
      </c>
      <c r="AV242" s="113" t="e">
        <f t="shared" si="228"/>
        <v>#VALUE!</v>
      </c>
      <c r="AW242" s="113" t="e">
        <f t="shared" si="228"/>
        <v>#VALUE!</v>
      </c>
      <c r="AY242" s="111" t="s">
        <v>55</v>
      </c>
      <c r="AZ242" s="179">
        <f t="shared" si="225"/>
        <v>1.9118094658347285E-2</v>
      </c>
      <c r="BA242" s="179" t="e">
        <f t="shared" si="225"/>
        <v>#VALUE!</v>
      </c>
      <c r="BB242" s="179" t="e">
        <f t="shared" si="225"/>
        <v>#VALUE!</v>
      </c>
      <c r="BC242" s="179" t="e">
        <f t="shared" si="225"/>
        <v>#VALUE!</v>
      </c>
      <c r="BD242" s="179" t="e">
        <f t="shared" si="225"/>
        <v>#VALUE!</v>
      </c>
      <c r="BE242" s="179" t="e">
        <f t="shared" si="225"/>
        <v>#VALUE!</v>
      </c>
      <c r="BF242" s="179" t="e">
        <f t="shared" si="225"/>
        <v>#VALUE!</v>
      </c>
      <c r="BG242" s="179" t="e">
        <f t="shared" si="225"/>
        <v>#VALUE!</v>
      </c>
      <c r="BH242" s="179" t="e">
        <f t="shared" si="225"/>
        <v>#VALUE!</v>
      </c>
    </row>
    <row r="243" spans="2:68" s="108" customFormat="1" x14ac:dyDescent="0.25">
      <c r="B243" s="107"/>
      <c r="E243" s="109" t="s">
        <v>0</v>
      </c>
      <c r="F243" s="110" t="s">
        <v>62</v>
      </c>
      <c r="G243" s="111" t="s">
        <v>130</v>
      </c>
      <c r="H243" s="70">
        <v>8993</v>
      </c>
      <c r="I243" s="70">
        <v>11567</v>
      </c>
      <c r="J243" s="70">
        <v>8254</v>
      </c>
      <c r="K243" s="70">
        <v>5104</v>
      </c>
      <c r="L243" s="70">
        <v>5700</v>
      </c>
      <c r="M243" s="70">
        <v>5121</v>
      </c>
      <c r="N243" s="70">
        <v>5682</v>
      </c>
      <c r="O243" s="112" t="s">
        <v>129</v>
      </c>
      <c r="P243" s="112" t="s">
        <v>129</v>
      </c>
      <c r="R243" s="111" t="s">
        <v>130</v>
      </c>
      <c r="S243" s="220">
        <v>14.7</v>
      </c>
      <c r="T243" s="220">
        <v>13.7</v>
      </c>
      <c r="U243" s="220">
        <v>15.9</v>
      </c>
      <c r="V243" s="220">
        <v>19.2</v>
      </c>
      <c r="W243" s="220">
        <v>21.9</v>
      </c>
      <c r="X243" s="220">
        <v>23.5</v>
      </c>
      <c r="Y243" s="220">
        <v>20.399999999999999</v>
      </c>
      <c r="Z243" s="220" t="s">
        <v>129</v>
      </c>
      <c r="AA243" s="220" t="s">
        <v>129</v>
      </c>
      <c r="AC243" s="111" t="s">
        <v>130</v>
      </c>
      <c r="AD243" s="70">
        <f t="shared" si="227"/>
        <v>2643.942</v>
      </c>
      <c r="AE243" s="70">
        <f t="shared" si="223"/>
        <v>3169.3579999999997</v>
      </c>
      <c r="AF243" s="70">
        <f t="shared" si="223"/>
        <v>2624.7719999999999</v>
      </c>
      <c r="AG243" s="70">
        <f t="shared" si="223"/>
        <v>1959.9360000000001</v>
      </c>
      <c r="AH243" s="70">
        <f t="shared" si="223"/>
        <v>2496.6</v>
      </c>
      <c r="AI243" s="70">
        <f t="shared" si="223"/>
        <v>2406.87</v>
      </c>
      <c r="AJ243" s="70">
        <f t="shared" si="223"/>
        <v>2318.2559999999999</v>
      </c>
      <c r="AK243" s="70" t="e">
        <f t="shared" si="223"/>
        <v>#VALUE!</v>
      </c>
      <c r="AL243" s="70" t="e">
        <f t="shared" si="223"/>
        <v>#VALUE!</v>
      </c>
      <c r="AN243" s="111" t="s">
        <v>130</v>
      </c>
      <c r="AO243" s="113">
        <f t="shared" ref="AO243:AW243" si="229">H243/H240</f>
        <v>0.11404910465175265</v>
      </c>
      <c r="AP243" s="113">
        <f t="shared" si="229"/>
        <v>0.1483823793519255</v>
      </c>
      <c r="AQ243" s="113">
        <f t="shared" si="229"/>
        <v>0.10928108036541771</v>
      </c>
      <c r="AR243" s="113">
        <f t="shared" si="229"/>
        <v>6.9563321157934913E-2</v>
      </c>
      <c r="AS243" s="113">
        <f t="shared" si="229"/>
        <v>8.0106809078771699E-2</v>
      </c>
      <c r="AT243" s="113">
        <f t="shared" si="229"/>
        <v>7.5071465220259467E-2</v>
      </c>
      <c r="AU243" s="113">
        <f t="shared" si="229"/>
        <v>8.7589215520032057E-2</v>
      </c>
      <c r="AV243" s="113" t="e">
        <f t="shared" si="229"/>
        <v>#VALUE!</v>
      </c>
      <c r="AW243" s="113" t="e">
        <f t="shared" si="229"/>
        <v>#VALUE!</v>
      </c>
      <c r="AY243" s="111" t="s">
        <v>130</v>
      </c>
      <c r="AZ243" s="179">
        <f t="shared" si="225"/>
        <v>3.3530436767615274E-2</v>
      </c>
      <c r="BA243" s="179">
        <f t="shared" si="225"/>
        <v>4.0656771942427589E-2</v>
      </c>
      <c r="BB243" s="179">
        <f t="shared" si="225"/>
        <v>3.4751383556202831E-2</v>
      </c>
      <c r="BC243" s="179">
        <f t="shared" si="225"/>
        <v>2.6712315324647004E-2</v>
      </c>
      <c r="BD243" s="179">
        <f t="shared" si="225"/>
        <v>3.5086782376502E-2</v>
      </c>
      <c r="BE243" s="179">
        <f t="shared" si="225"/>
        <v>3.528358865352195E-2</v>
      </c>
      <c r="BF243" s="179">
        <f t="shared" si="225"/>
        <v>3.5736399932173077E-2</v>
      </c>
      <c r="BG243" s="179" t="e">
        <f t="shared" si="225"/>
        <v>#VALUE!</v>
      </c>
      <c r="BH243" s="179" t="e">
        <f t="shared" si="225"/>
        <v>#VALUE!</v>
      </c>
    </row>
    <row r="244" spans="2:68" s="108" customFormat="1" x14ac:dyDescent="0.25">
      <c r="B244" s="107"/>
      <c r="E244" s="109" t="s">
        <v>0</v>
      </c>
      <c r="F244" s="110" t="s">
        <v>62</v>
      </c>
      <c r="G244" s="111" t="s">
        <v>131</v>
      </c>
      <c r="H244" s="112">
        <v>54248</v>
      </c>
      <c r="I244" s="112">
        <v>52654</v>
      </c>
      <c r="J244" s="112">
        <v>58066</v>
      </c>
      <c r="K244" s="112">
        <v>58238</v>
      </c>
      <c r="L244" s="112">
        <v>57677</v>
      </c>
      <c r="M244" s="112">
        <v>54706</v>
      </c>
      <c r="N244" s="112">
        <v>52781</v>
      </c>
      <c r="O244" s="112">
        <v>51326</v>
      </c>
      <c r="P244" s="112">
        <v>55547</v>
      </c>
      <c r="R244" s="111" t="s">
        <v>131</v>
      </c>
      <c r="S244" s="220">
        <v>5.9</v>
      </c>
      <c r="T244" s="220">
        <v>4.9000000000000004</v>
      </c>
      <c r="U244" s="220">
        <v>4.5</v>
      </c>
      <c r="V244" s="220">
        <v>3.3</v>
      </c>
      <c r="W244" s="220">
        <v>12.3</v>
      </c>
      <c r="X244" s="220">
        <v>4.2</v>
      </c>
      <c r="Y244" s="220">
        <v>4</v>
      </c>
      <c r="Z244" s="220">
        <v>2.7</v>
      </c>
      <c r="AA244" s="220">
        <v>5.5</v>
      </c>
      <c r="AC244" s="111" t="s">
        <v>131</v>
      </c>
      <c r="AD244" s="112">
        <f t="shared" si="227"/>
        <v>6401.2640000000001</v>
      </c>
      <c r="AE244" s="112">
        <f t="shared" si="223"/>
        <v>5160.0920000000006</v>
      </c>
      <c r="AF244" s="112">
        <f t="shared" si="223"/>
        <v>5225.9399999999996</v>
      </c>
      <c r="AG244" s="112">
        <f t="shared" si="223"/>
        <v>3843.7080000000001</v>
      </c>
      <c r="AH244" s="112">
        <f t="shared" si="223"/>
        <v>14188.542000000001</v>
      </c>
      <c r="AI244" s="112">
        <f t="shared" si="223"/>
        <v>4595.3040000000001</v>
      </c>
      <c r="AJ244" s="112">
        <f t="shared" si="223"/>
        <v>4222.4799999999996</v>
      </c>
      <c r="AK244" s="112">
        <f t="shared" si="223"/>
        <v>2771.6040000000003</v>
      </c>
      <c r="AL244" s="112">
        <f t="shared" si="223"/>
        <v>6110.17</v>
      </c>
      <c r="AN244" s="111" t="s">
        <v>131</v>
      </c>
      <c r="AO244" s="113">
        <f t="shared" ref="AO244:AW244" si="230">H244/H240</f>
        <v>0.68797240399736215</v>
      </c>
      <c r="AP244" s="113">
        <f t="shared" si="230"/>
        <v>0.6754496241373118</v>
      </c>
      <c r="AQ244" s="113">
        <f t="shared" si="230"/>
        <v>0.76878061697338806</v>
      </c>
      <c r="AR244" s="113">
        <f t="shared" si="230"/>
        <v>0.79373603009322358</v>
      </c>
      <c r="AS244" s="113">
        <f t="shared" si="230"/>
        <v>0.8105825310940904</v>
      </c>
      <c r="AT244" s="113">
        <f t="shared" si="230"/>
        <v>0.80196437733636294</v>
      </c>
      <c r="AU244" s="113">
        <f t="shared" si="230"/>
        <v>0.8136301274837755</v>
      </c>
      <c r="AV244" s="113">
        <f t="shared" si="230"/>
        <v>0.84352556411984159</v>
      </c>
      <c r="AW244" s="113">
        <f t="shared" si="230"/>
        <v>0.8823006178820465</v>
      </c>
      <c r="AY244" s="111" t="s">
        <v>131</v>
      </c>
      <c r="AZ244" s="179">
        <f t="shared" si="225"/>
        <v>8.1180743671688732E-2</v>
      </c>
      <c r="BA244" s="179">
        <f t="shared" si="225"/>
        <v>6.6194063165456563E-2</v>
      </c>
      <c r="BB244" s="179">
        <f t="shared" si="225"/>
        <v>6.9190255527604924E-2</v>
      </c>
      <c r="BC244" s="179">
        <f t="shared" si="225"/>
        <v>5.2386577986152753E-2</v>
      </c>
      <c r="BD244" s="179">
        <f t="shared" si="225"/>
        <v>0.19940330264914624</v>
      </c>
      <c r="BE244" s="179">
        <f t="shared" si="225"/>
        <v>6.7365007696254489E-2</v>
      </c>
      <c r="BF244" s="179">
        <f t="shared" si="225"/>
        <v>6.5090410198702042E-2</v>
      </c>
      <c r="BG244" s="179">
        <f t="shared" si="225"/>
        <v>4.5550380462471445E-2</v>
      </c>
      <c r="BH244" s="179">
        <f t="shared" si="225"/>
        <v>9.705306796702512E-2</v>
      </c>
    </row>
    <row r="245" spans="2:68" s="87" customFormat="1" x14ac:dyDescent="0.25">
      <c r="B245" s="84"/>
      <c r="C245" s="85"/>
      <c r="D245" s="85"/>
      <c r="E245" s="109" t="s">
        <v>1</v>
      </c>
      <c r="F245" s="110" t="s">
        <v>62</v>
      </c>
      <c r="G245" s="195" t="s">
        <v>7</v>
      </c>
      <c r="H245" s="69">
        <v>101075</v>
      </c>
      <c r="I245" s="69">
        <v>97255</v>
      </c>
      <c r="J245" s="69">
        <v>95376</v>
      </c>
      <c r="K245" s="69">
        <v>92424</v>
      </c>
      <c r="L245" s="69">
        <v>90700</v>
      </c>
      <c r="M245" s="69">
        <v>89789</v>
      </c>
      <c r="N245" s="69">
        <v>86769</v>
      </c>
      <c r="O245" s="69">
        <v>74798</v>
      </c>
      <c r="P245" s="69">
        <v>71410</v>
      </c>
      <c r="R245" s="195" t="s">
        <v>7</v>
      </c>
      <c r="S245" s="226">
        <v>1.4</v>
      </c>
      <c r="T245" s="226">
        <v>1.6</v>
      </c>
      <c r="U245" s="226">
        <v>1.5</v>
      </c>
      <c r="V245" s="226">
        <v>1.5</v>
      </c>
      <c r="W245" s="226">
        <v>1.7</v>
      </c>
      <c r="X245" s="226">
        <v>1.8</v>
      </c>
      <c r="Y245" s="226">
        <v>1.7</v>
      </c>
      <c r="Z245" s="226">
        <v>2.2999999999999998</v>
      </c>
      <c r="AA245" s="226">
        <v>5.3</v>
      </c>
      <c r="AC245" s="195" t="s">
        <v>7</v>
      </c>
      <c r="AD245" s="69">
        <f t="shared" si="227"/>
        <v>2830.1</v>
      </c>
      <c r="AE245" s="69">
        <f t="shared" si="223"/>
        <v>3112.16</v>
      </c>
      <c r="AF245" s="69">
        <f t="shared" si="223"/>
        <v>2861.28</v>
      </c>
      <c r="AG245" s="69">
        <f t="shared" si="223"/>
        <v>2772.72</v>
      </c>
      <c r="AH245" s="69">
        <f t="shared" si="223"/>
        <v>3083.8</v>
      </c>
      <c r="AI245" s="69">
        <f t="shared" si="223"/>
        <v>3232.4040000000005</v>
      </c>
      <c r="AJ245" s="69">
        <f t="shared" si="223"/>
        <v>2950.1459999999997</v>
      </c>
      <c r="AK245" s="69">
        <f t="shared" si="223"/>
        <v>3440.7080000000001</v>
      </c>
      <c r="AL245" s="69">
        <f t="shared" si="223"/>
        <v>7569.46</v>
      </c>
      <c r="AN245" s="195" t="s">
        <v>7</v>
      </c>
      <c r="AO245" s="98">
        <f t="shared" ref="AO245:AW245" si="231">H245/H245</f>
        <v>1</v>
      </c>
      <c r="AP245" s="98">
        <f t="shared" si="231"/>
        <v>1</v>
      </c>
      <c r="AQ245" s="98">
        <f t="shared" si="231"/>
        <v>1</v>
      </c>
      <c r="AR245" s="98">
        <f t="shared" si="231"/>
        <v>1</v>
      </c>
      <c r="AS245" s="98">
        <f t="shared" si="231"/>
        <v>1</v>
      </c>
      <c r="AT245" s="98">
        <f t="shared" si="231"/>
        <v>1</v>
      </c>
      <c r="AU245" s="98">
        <f t="shared" si="231"/>
        <v>1</v>
      </c>
      <c r="AV245" s="98">
        <f t="shared" si="231"/>
        <v>1</v>
      </c>
      <c r="AW245" s="98">
        <f t="shared" si="231"/>
        <v>1</v>
      </c>
      <c r="AX245" s="191"/>
      <c r="AY245" s="195" t="s">
        <v>7</v>
      </c>
      <c r="AZ245" s="178">
        <f t="shared" si="225"/>
        <v>2.7999999999999997E-2</v>
      </c>
      <c r="BA245" s="178">
        <f t="shared" si="225"/>
        <v>3.2000000000000001E-2</v>
      </c>
      <c r="BB245" s="178">
        <f t="shared" si="225"/>
        <v>0.03</v>
      </c>
      <c r="BC245" s="178">
        <f t="shared" si="225"/>
        <v>0.03</v>
      </c>
      <c r="BD245" s="178">
        <f t="shared" si="225"/>
        <v>3.4000000000000002E-2</v>
      </c>
      <c r="BE245" s="178">
        <f t="shared" si="225"/>
        <v>3.6000000000000004E-2</v>
      </c>
      <c r="BF245" s="178">
        <f t="shared" si="225"/>
        <v>3.4000000000000002E-2</v>
      </c>
      <c r="BG245" s="178">
        <f t="shared" si="225"/>
        <v>4.5999999999999999E-2</v>
      </c>
      <c r="BH245" s="178">
        <f t="shared" si="225"/>
        <v>0.106</v>
      </c>
      <c r="BI245" s="191"/>
      <c r="BJ245" s="191"/>
      <c r="BK245" s="191"/>
      <c r="BL245" s="191"/>
      <c r="BM245" s="191"/>
      <c r="BN245" s="191"/>
      <c r="BO245" s="191"/>
      <c r="BP245" s="191"/>
    </row>
    <row r="246" spans="2:68" s="108" customFormat="1" x14ac:dyDescent="0.25">
      <c r="B246" s="107"/>
      <c r="E246" s="109" t="s">
        <v>1</v>
      </c>
      <c r="F246" s="110" t="s">
        <v>62</v>
      </c>
      <c r="G246" s="111" t="s">
        <v>54</v>
      </c>
      <c r="H246" s="112">
        <v>36552</v>
      </c>
      <c r="I246" s="112">
        <v>33190</v>
      </c>
      <c r="J246" s="112">
        <v>30638</v>
      </c>
      <c r="K246" s="112">
        <v>26663</v>
      </c>
      <c r="L246" s="112">
        <v>30227</v>
      </c>
      <c r="M246" s="112">
        <v>29734</v>
      </c>
      <c r="N246" s="112">
        <v>24904</v>
      </c>
      <c r="O246" s="112">
        <v>21398</v>
      </c>
      <c r="P246" s="112">
        <v>15449</v>
      </c>
      <c r="R246" s="111" t="s">
        <v>54</v>
      </c>
      <c r="S246" s="220">
        <v>6</v>
      </c>
      <c r="T246" s="220">
        <v>7.5</v>
      </c>
      <c r="U246" s="220">
        <v>7.2</v>
      </c>
      <c r="V246" s="220">
        <v>7.6</v>
      </c>
      <c r="W246" s="220">
        <v>7.7</v>
      </c>
      <c r="X246" s="220">
        <v>9</v>
      </c>
      <c r="Y246" s="220">
        <v>9</v>
      </c>
      <c r="Z246" s="220">
        <v>11.4</v>
      </c>
      <c r="AA246" s="220">
        <v>14.2</v>
      </c>
      <c r="AC246" s="111" t="s">
        <v>54</v>
      </c>
      <c r="AD246" s="112">
        <f t="shared" si="227"/>
        <v>4386.24</v>
      </c>
      <c r="AE246" s="112">
        <f t="shared" si="223"/>
        <v>4978.5</v>
      </c>
      <c r="AF246" s="112">
        <f t="shared" si="223"/>
        <v>4411.8720000000003</v>
      </c>
      <c r="AG246" s="112">
        <f t="shared" si="223"/>
        <v>4052.7759999999998</v>
      </c>
      <c r="AH246" s="112">
        <f t="shared" si="223"/>
        <v>4654.9579999999996</v>
      </c>
      <c r="AI246" s="112">
        <f t="shared" si="223"/>
        <v>5352.12</v>
      </c>
      <c r="AJ246" s="112">
        <f t="shared" si="223"/>
        <v>4482.72</v>
      </c>
      <c r="AK246" s="112">
        <f t="shared" si="223"/>
        <v>4878.7440000000006</v>
      </c>
      <c r="AL246" s="112">
        <f t="shared" si="223"/>
        <v>4387.5159999999996</v>
      </c>
      <c r="AN246" s="111" t="s">
        <v>54</v>
      </c>
      <c r="AO246" s="113">
        <f t="shared" ref="AO246:AW246" si="232">H246/H245</f>
        <v>0.36163245115013604</v>
      </c>
      <c r="AP246" s="113">
        <f t="shared" si="232"/>
        <v>0.34126780114132949</v>
      </c>
      <c r="AQ246" s="113">
        <f t="shared" si="232"/>
        <v>0.3212338533803053</v>
      </c>
      <c r="AR246" s="113">
        <f t="shared" si="232"/>
        <v>0.28848567471652387</v>
      </c>
      <c r="AS246" s="113">
        <f t="shared" si="232"/>
        <v>0.33326350606394706</v>
      </c>
      <c r="AT246" s="113">
        <f t="shared" si="232"/>
        <v>0.33115415028566975</v>
      </c>
      <c r="AU246" s="113">
        <f t="shared" si="232"/>
        <v>0.28701494773479008</v>
      </c>
      <c r="AV246" s="113">
        <f t="shared" si="232"/>
        <v>0.28607716783871229</v>
      </c>
      <c r="AW246" s="113">
        <f t="shared" si="232"/>
        <v>0.21634224898473603</v>
      </c>
      <c r="AY246" s="111" t="s">
        <v>54</v>
      </c>
      <c r="AZ246" s="179">
        <f t="shared" si="225"/>
        <v>4.3395894138016325E-2</v>
      </c>
      <c r="BA246" s="179">
        <f t="shared" si="225"/>
        <v>5.1190170171199423E-2</v>
      </c>
      <c r="BB246" s="179">
        <f t="shared" si="225"/>
        <v>4.6257674886763966E-2</v>
      </c>
      <c r="BC246" s="179">
        <f t="shared" si="225"/>
        <v>4.3849822556911625E-2</v>
      </c>
      <c r="BD246" s="179">
        <f t="shared" si="225"/>
        <v>5.1322579933847853E-2</v>
      </c>
      <c r="BE246" s="179">
        <f t="shared" si="225"/>
        <v>5.9607747051420558E-2</v>
      </c>
      <c r="BF246" s="179">
        <f t="shared" si="225"/>
        <v>5.1662690592262223E-2</v>
      </c>
      <c r="BG246" s="179">
        <f t="shared" si="225"/>
        <v>6.5225594267226406E-2</v>
      </c>
      <c r="BH246" s="179">
        <f t="shared" si="225"/>
        <v>6.1441198711665035E-2</v>
      </c>
    </row>
    <row r="247" spans="2:68" s="108" customFormat="1" x14ac:dyDescent="0.25">
      <c r="B247" s="107"/>
      <c r="E247" s="109" t="s">
        <v>1</v>
      </c>
      <c r="F247" s="110" t="s">
        <v>62</v>
      </c>
      <c r="G247" s="111" t="s">
        <v>55</v>
      </c>
      <c r="H247" s="70">
        <v>13291</v>
      </c>
      <c r="I247" s="70">
        <v>15421</v>
      </c>
      <c r="J247" s="70">
        <v>12757</v>
      </c>
      <c r="K247" s="70">
        <v>13001</v>
      </c>
      <c r="L247" s="70">
        <v>10723</v>
      </c>
      <c r="M247" s="70">
        <v>10190</v>
      </c>
      <c r="N247" s="70">
        <v>7380</v>
      </c>
      <c r="O247" s="112" t="s">
        <v>129</v>
      </c>
      <c r="P247" s="112" t="s">
        <v>129</v>
      </c>
      <c r="R247" s="111" t="s">
        <v>55</v>
      </c>
      <c r="S247" s="81">
        <v>11.5</v>
      </c>
      <c r="T247" s="81">
        <v>11.7</v>
      </c>
      <c r="U247" s="81">
        <v>13</v>
      </c>
      <c r="V247" s="81">
        <v>11.6</v>
      </c>
      <c r="W247" s="81">
        <v>15.1</v>
      </c>
      <c r="X247" s="81">
        <v>16.2</v>
      </c>
      <c r="Y247" s="81">
        <v>18.899999999999999</v>
      </c>
      <c r="Z247" s="81"/>
      <c r="AA247" s="81"/>
      <c r="AC247" s="111" t="s">
        <v>55</v>
      </c>
      <c r="AD247" s="70">
        <f t="shared" si="227"/>
        <v>3056.93</v>
      </c>
      <c r="AE247" s="70">
        <f t="shared" si="223"/>
        <v>3608.5139999999997</v>
      </c>
      <c r="AF247" s="70">
        <f t="shared" si="223"/>
        <v>3316.82</v>
      </c>
      <c r="AG247" s="70">
        <f t="shared" si="223"/>
        <v>3016.232</v>
      </c>
      <c r="AH247" s="70">
        <f t="shared" si="223"/>
        <v>3238.3459999999995</v>
      </c>
      <c r="AI247" s="70">
        <f t="shared" si="223"/>
        <v>3301.56</v>
      </c>
      <c r="AJ247" s="70">
        <f t="shared" si="223"/>
        <v>2789.64</v>
      </c>
      <c r="AK247" s="70" t="e">
        <f t="shared" si="223"/>
        <v>#VALUE!</v>
      </c>
      <c r="AL247" s="70" t="e">
        <f t="shared" si="223"/>
        <v>#VALUE!</v>
      </c>
      <c r="AN247" s="111" t="s">
        <v>55</v>
      </c>
      <c r="AO247" s="113">
        <f t="shared" ref="AO247:AW247" si="233">H247/H245</f>
        <v>0.13149641355429137</v>
      </c>
      <c r="AP247" s="113">
        <f t="shared" si="233"/>
        <v>0.15856254177163129</v>
      </c>
      <c r="AQ247" s="113">
        <f t="shared" si="233"/>
        <v>0.13375482301627245</v>
      </c>
      <c r="AR247" s="113">
        <f t="shared" si="233"/>
        <v>0.14066692633947891</v>
      </c>
      <c r="AS247" s="113">
        <f t="shared" si="233"/>
        <v>0.11822491730981256</v>
      </c>
      <c r="AT247" s="113">
        <f t="shared" si="233"/>
        <v>0.11348828921137333</v>
      </c>
      <c r="AU247" s="113">
        <f t="shared" si="233"/>
        <v>8.5053417695259828E-2</v>
      </c>
      <c r="AV247" s="113" t="e">
        <f t="shared" si="233"/>
        <v>#VALUE!</v>
      </c>
      <c r="AW247" s="113" t="e">
        <f t="shared" si="233"/>
        <v>#VALUE!</v>
      </c>
      <c r="AY247" s="111" t="s">
        <v>55</v>
      </c>
      <c r="AZ247" s="179">
        <f t="shared" si="225"/>
        <v>3.0244175117487015E-2</v>
      </c>
      <c r="BA247" s="179">
        <f t="shared" si="225"/>
        <v>3.7103634774561717E-2</v>
      </c>
      <c r="BB247" s="179">
        <f t="shared" si="225"/>
        <v>3.4776253984230836E-2</v>
      </c>
      <c r="BC247" s="179">
        <f t="shared" si="225"/>
        <v>3.263472691075911E-2</v>
      </c>
      <c r="BD247" s="179">
        <f t="shared" si="225"/>
        <v>3.5703925027563393E-2</v>
      </c>
      <c r="BE247" s="179">
        <f t="shared" si="225"/>
        <v>3.6770205704484957E-2</v>
      </c>
      <c r="BF247" s="179">
        <f t="shared" si="225"/>
        <v>3.2150191888808209E-2</v>
      </c>
      <c r="BG247" s="179" t="e">
        <f t="shared" si="225"/>
        <v>#VALUE!</v>
      </c>
      <c r="BH247" s="179" t="e">
        <f t="shared" si="225"/>
        <v>#VALUE!</v>
      </c>
    </row>
    <row r="248" spans="2:68" s="108" customFormat="1" x14ac:dyDescent="0.25">
      <c r="B248" s="107"/>
      <c r="E248" s="109" t="s">
        <v>1</v>
      </c>
      <c r="F248" s="110" t="s">
        <v>62</v>
      </c>
      <c r="G248" s="111" t="s">
        <v>130</v>
      </c>
      <c r="H248" s="70">
        <v>15663</v>
      </c>
      <c r="I248" s="70">
        <v>12549</v>
      </c>
      <c r="J248" s="70">
        <v>14985</v>
      </c>
      <c r="K248" s="70">
        <v>11818</v>
      </c>
      <c r="L248" s="70">
        <v>15104</v>
      </c>
      <c r="M248" s="70">
        <v>14186</v>
      </c>
      <c r="N248" s="70">
        <v>16247</v>
      </c>
      <c r="O248" s="112">
        <v>8239</v>
      </c>
      <c r="P248" s="112">
        <v>11734</v>
      </c>
      <c r="R248" s="111" t="s">
        <v>130</v>
      </c>
      <c r="S248" s="220">
        <v>10.4</v>
      </c>
      <c r="T248" s="220">
        <v>13.5</v>
      </c>
      <c r="U248" s="220">
        <v>11.7</v>
      </c>
      <c r="V248" s="220">
        <v>12.6</v>
      </c>
      <c r="W248" s="220">
        <v>11.9</v>
      </c>
      <c r="X248" s="220">
        <v>13.3</v>
      </c>
      <c r="Y248" s="220">
        <v>11.8</v>
      </c>
      <c r="Z248" s="220">
        <v>20.2</v>
      </c>
      <c r="AA248" s="220">
        <v>15.9</v>
      </c>
      <c r="AC248" s="111" t="s">
        <v>130</v>
      </c>
      <c r="AD248" s="70">
        <f t="shared" si="227"/>
        <v>3257.9040000000005</v>
      </c>
      <c r="AE248" s="70">
        <f t="shared" si="223"/>
        <v>3388.23</v>
      </c>
      <c r="AF248" s="70">
        <f t="shared" si="223"/>
        <v>3506.49</v>
      </c>
      <c r="AG248" s="70">
        <f t="shared" si="223"/>
        <v>2978.136</v>
      </c>
      <c r="AH248" s="70">
        <f t="shared" si="223"/>
        <v>3594.752</v>
      </c>
      <c r="AI248" s="70">
        <f t="shared" si="223"/>
        <v>3773.4760000000006</v>
      </c>
      <c r="AJ248" s="70">
        <f t="shared" si="223"/>
        <v>3834.2919999999999</v>
      </c>
      <c r="AK248" s="70">
        <f t="shared" si="223"/>
        <v>3328.5559999999996</v>
      </c>
      <c r="AL248" s="70">
        <f t="shared" si="223"/>
        <v>3731.4120000000003</v>
      </c>
      <c r="AN248" s="111" t="s">
        <v>130</v>
      </c>
      <c r="AO248" s="113">
        <f t="shared" ref="AO248:AW248" si="234">H248/H245</f>
        <v>0.15496413554291369</v>
      </c>
      <c r="AP248" s="113">
        <f t="shared" si="234"/>
        <v>0.12903192637910646</v>
      </c>
      <c r="AQ248" s="113">
        <f t="shared" si="234"/>
        <v>0.15711499748364369</v>
      </c>
      <c r="AR248" s="113">
        <f t="shared" si="234"/>
        <v>0.12786722063533282</v>
      </c>
      <c r="AS248" s="113">
        <f t="shared" si="234"/>
        <v>0.16652701212789417</v>
      </c>
      <c r="AT248" s="113">
        <f t="shared" si="234"/>
        <v>0.15799262715922885</v>
      </c>
      <c r="AU248" s="113">
        <f t="shared" si="234"/>
        <v>0.18724429231638026</v>
      </c>
      <c r="AV248" s="113">
        <f t="shared" si="234"/>
        <v>0.11015000401080242</v>
      </c>
      <c r="AW248" s="113">
        <f t="shared" si="234"/>
        <v>0.16431872286794566</v>
      </c>
      <c r="AY248" s="111" t="s">
        <v>130</v>
      </c>
      <c r="AZ248" s="179">
        <f t="shared" si="225"/>
        <v>3.2232540192926047E-2</v>
      </c>
      <c r="BA248" s="179">
        <f t="shared" si="225"/>
        <v>3.4838620122358742E-2</v>
      </c>
      <c r="BB248" s="179">
        <f t="shared" si="225"/>
        <v>3.6764909411172622E-2</v>
      </c>
      <c r="BC248" s="179">
        <f t="shared" si="225"/>
        <v>3.2222539600103871E-2</v>
      </c>
      <c r="BD248" s="179">
        <f t="shared" si="225"/>
        <v>3.9633428886438817E-2</v>
      </c>
      <c r="BE248" s="179">
        <f t="shared" si="225"/>
        <v>4.2026038824354871E-2</v>
      </c>
      <c r="BF248" s="179">
        <f t="shared" si="225"/>
        <v>4.4189652986665745E-2</v>
      </c>
      <c r="BG248" s="179">
        <f t="shared" si="225"/>
        <v>4.4500601620364177E-2</v>
      </c>
      <c r="BH248" s="179">
        <f t="shared" si="225"/>
        <v>5.2253353872006719E-2</v>
      </c>
    </row>
    <row r="249" spans="2:68" s="108" customFormat="1" x14ac:dyDescent="0.25">
      <c r="B249" s="107"/>
      <c r="E249" s="109" t="s">
        <v>1</v>
      </c>
      <c r="F249" s="110" t="s">
        <v>62</v>
      </c>
      <c r="G249" s="111" t="s">
        <v>131</v>
      </c>
      <c r="H249" s="112">
        <v>35403</v>
      </c>
      <c r="I249" s="112">
        <v>35268</v>
      </c>
      <c r="J249" s="112">
        <v>36996</v>
      </c>
      <c r="K249" s="112">
        <v>40942</v>
      </c>
      <c r="L249" s="112">
        <v>34647</v>
      </c>
      <c r="M249" s="112">
        <v>35679</v>
      </c>
      <c r="N249" s="112">
        <v>38239</v>
      </c>
      <c r="O249" s="112">
        <v>36456</v>
      </c>
      <c r="P249" s="112">
        <v>36302</v>
      </c>
      <c r="R249" s="111" t="s">
        <v>131</v>
      </c>
      <c r="S249" s="220">
        <v>6</v>
      </c>
      <c r="T249" s="220">
        <v>7.5</v>
      </c>
      <c r="U249" s="220">
        <v>6.7</v>
      </c>
      <c r="V249" s="220">
        <v>5.0999999999999996</v>
      </c>
      <c r="W249" s="220">
        <v>7.4</v>
      </c>
      <c r="X249" s="220">
        <v>7.3</v>
      </c>
      <c r="Y249" s="220">
        <v>6.3</v>
      </c>
      <c r="Z249" s="220">
        <v>7.9</v>
      </c>
      <c r="AA249" s="220">
        <v>5.7</v>
      </c>
      <c r="AC249" s="111" t="s">
        <v>131</v>
      </c>
      <c r="AD249" s="112">
        <f t="shared" si="227"/>
        <v>4248.3599999999997</v>
      </c>
      <c r="AE249" s="112">
        <f t="shared" si="223"/>
        <v>5290.2</v>
      </c>
      <c r="AF249" s="112">
        <f t="shared" si="223"/>
        <v>4957.4639999999999</v>
      </c>
      <c r="AG249" s="112">
        <f t="shared" si="223"/>
        <v>4176.0839999999998</v>
      </c>
      <c r="AH249" s="112">
        <f t="shared" si="223"/>
        <v>5127.7560000000003</v>
      </c>
      <c r="AI249" s="112">
        <f t="shared" si="223"/>
        <v>5209.134</v>
      </c>
      <c r="AJ249" s="112">
        <f t="shared" si="223"/>
        <v>4818.1139999999996</v>
      </c>
      <c r="AK249" s="112">
        <f t="shared" si="223"/>
        <v>5760.0480000000007</v>
      </c>
      <c r="AL249" s="112">
        <f t="shared" si="223"/>
        <v>4138.4279999999999</v>
      </c>
      <c r="AN249" s="111" t="s">
        <v>131</v>
      </c>
      <c r="AO249" s="113">
        <f t="shared" ref="AO249:AW249" si="235">H249/H245</f>
        <v>0.35026465495918874</v>
      </c>
      <c r="AP249" s="113">
        <f t="shared" si="235"/>
        <v>0.36263431186057271</v>
      </c>
      <c r="AQ249" s="113">
        <f t="shared" si="235"/>
        <v>0.38789632611977853</v>
      </c>
      <c r="AR249" s="113">
        <f t="shared" si="235"/>
        <v>0.44298017830866443</v>
      </c>
      <c r="AS249" s="113">
        <f t="shared" si="235"/>
        <v>0.38199558985667031</v>
      </c>
      <c r="AT249" s="113">
        <f t="shared" si="235"/>
        <v>0.39736493334372808</v>
      </c>
      <c r="AU249" s="113">
        <f t="shared" si="235"/>
        <v>0.44069886710691608</v>
      </c>
      <c r="AV249" s="113">
        <f t="shared" si="235"/>
        <v>0.48739271103505444</v>
      </c>
      <c r="AW249" s="113">
        <f t="shared" si="235"/>
        <v>0.50836017364514774</v>
      </c>
      <c r="AY249" s="111" t="s">
        <v>131</v>
      </c>
      <c r="AZ249" s="179">
        <f t="shared" si="225"/>
        <v>4.2031758595102643E-2</v>
      </c>
      <c r="BA249" s="179">
        <f t="shared" si="225"/>
        <v>5.4395146779085905E-2</v>
      </c>
      <c r="BB249" s="179">
        <f t="shared" si="225"/>
        <v>5.1978107700050326E-2</v>
      </c>
      <c r="BC249" s="179">
        <f t="shared" si="225"/>
        <v>4.5183978187483771E-2</v>
      </c>
      <c r="BD249" s="179">
        <f t="shared" si="225"/>
        <v>5.6535347298787203E-2</v>
      </c>
      <c r="BE249" s="179">
        <f t="shared" si="225"/>
        <v>5.8015280268184297E-2</v>
      </c>
      <c r="BF249" s="179">
        <f t="shared" si="225"/>
        <v>5.5528057255471427E-2</v>
      </c>
      <c r="BG249" s="179">
        <f t="shared" si="225"/>
        <v>7.700804834353861E-2</v>
      </c>
      <c r="BH249" s="179">
        <f t="shared" si="225"/>
        <v>5.7953059795546845E-2</v>
      </c>
    </row>
    <row r="250" spans="2:68" s="87" customFormat="1" x14ac:dyDescent="0.25">
      <c r="B250" s="84"/>
      <c r="C250" s="85"/>
      <c r="D250" s="85"/>
      <c r="E250" s="109" t="s">
        <v>2</v>
      </c>
      <c r="F250" s="110" t="s">
        <v>62</v>
      </c>
      <c r="G250" s="195" t="s">
        <v>7</v>
      </c>
      <c r="H250" s="69">
        <v>175291</v>
      </c>
      <c r="I250" s="69">
        <v>169477</v>
      </c>
      <c r="J250" s="69">
        <v>160803</v>
      </c>
      <c r="K250" s="69">
        <v>152813</v>
      </c>
      <c r="L250" s="69">
        <v>144550</v>
      </c>
      <c r="M250" s="69">
        <v>138095</v>
      </c>
      <c r="N250" s="69">
        <v>134859</v>
      </c>
      <c r="O250" s="69">
        <v>143901</v>
      </c>
      <c r="P250" s="69">
        <v>136614</v>
      </c>
      <c r="R250" s="195" t="s">
        <v>7</v>
      </c>
      <c r="S250" s="226">
        <v>1.1000000000000001</v>
      </c>
      <c r="T250" s="226">
        <v>1.3</v>
      </c>
      <c r="U250" s="226">
        <v>1.2</v>
      </c>
      <c r="V250" s="226">
        <v>1.1000000000000001</v>
      </c>
      <c r="W250" s="226">
        <v>1.3</v>
      </c>
      <c r="X250" s="226">
        <v>1.5</v>
      </c>
      <c r="Y250" s="226">
        <v>1.3</v>
      </c>
      <c r="Z250" s="226">
        <v>1.7</v>
      </c>
      <c r="AA250" s="226">
        <v>1.6</v>
      </c>
      <c r="AC250" s="195" t="s">
        <v>7</v>
      </c>
      <c r="AD250" s="69">
        <f t="shared" si="227"/>
        <v>3856.402</v>
      </c>
      <c r="AE250" s="69">
        <f t="shared" si="223"/>
        <v>4406.402</v>
      </c>
      <c r="AF250" s="69">
        <f t="shared" si="223"/>
        <v>3859.2719999999999</v>
      </c>
      <c r="AG250" s="69">
        <f t="shared" si="223"/>
        <v>3361.8860000000004</v>
      </c>
      <c r="AH250" s="69">
        <f t="shared" si="223"/>
        <v>3758.3</v>
      </c>
      <c r="AI250" s="69">
        <f t="shared" si="223"/>
        <v>4142.8500000000004</v>
      </c>
      <c r="AJ250" s="69">
        <f t="shared" si="223"/>
        <v>3506.3340000000003</v>
      </c>
      <c r="AK250" s="69">
        <f t="shared" si="223"/>
        <v>4892.634</v>
      </c>
      <c r="AL250" s="69">
        <f t="shared" si="223"/>
        <v>4371.6480000000001</v>
      </c>
      <c r="AN250" s="195" t="s">
        <v>7</v>
      </c>
      <c r="AO250" s="98">
        <f t="shared" ref="AO250:AW250" si="236">H250/H250</f>
        <v>1</v>
      </c>
      <c r="AP250" s="98">
        <f t="shared" si="236"/>
        <v>1</v>
      </c>
      <c r="AQ250" s="98">
        <f t="shared" si="236"/>
        <v>1</v>
      </c>
      <c r="AR250" s="98">
        <f t="shared" si="236"/>
        <v>1</v>
      </c>
      <c r="AS250" s="98">
        <f t="shared" si="236"/>
        <v>1</v>
      </c>
      <c r="AT250" s="98">
        <f t="shared" si="236"/>
        <v>1</v>
      </c>
      <c r="AU250" s="98">
        <f t="shared" si="236"/>
        <v>1</v>
      </c>
      <c r="AV250" s="98">
        <f t="shared" si="236"/>
        <v>1</v>
      </c>
      <c r="AW250" s="98">
        <f t="shared" si="236"/>
        <v>1</v>
      </c>
      <c r="AX250" s="191"/>
      <c r="AY250" s="195" t="s">
        <v>7</v>
      </c>
      <c r="AZ250" s="178">
        <f t="shared" si="225"/>
        <v>2.2000000000000002E-2</v>
      </c>
      <c r="BA250" s="178">
        <f t="shared" si="225"/>
        <v>2.6000000000000002E-2</v>
      </c>
      <c r="BB250" s="178">
        <f t="shared" si="225"/>
        <v>2.4E-2</v>
      </c>
      <c r="BC250" s="178">
        <f t="shared" si="225"/>
        <v>2.2000000000000002E-2</v>
      </c>
      <c r="BD250" s="178">
        <f t="shared" si="225"/>
        <v>2.6000000000000002E-2</v>
      </c>
      <c r="BE250" s="178">
        <f t="shared" si="225"/>
        <v>0.03</v>
      </c>
      <c r="BF250" s="178">
        <f t="shared" si="225"/>
        <v>2.6000000000000002E-2</v>
      </c>
      <c r="BG250" s="178">
        <f t="shared" si="225"/>
        <v>3.4000000000000002E-2</v>
      </c>
      <c r="BH250" s="178">
        <f t="shared" si="225"/>
        <v>3.2000000000000001E-2</v>
      </c>
      <c r="BI250" s="191"/>
      <c r="BJ250" s="191"/>
      <c r="BK250" s="191"/>
      <c r="BL250" s="191"/>
      <c r="BM250" s="191"/>
      <c r="BN250" s="191"/>
      <c r="BO250" s="191"/>
      <c r="BP250" s="191"/>
    </row>
    <row r="251" spans="2:68" s="108" customFormat="1" x14ac:dyDescent="0.25">
      <c r="B251" s="107"/>
      <c r="E251" s="109" t="s">
        <v>2</v>
      </c>
      <c r="F251" s="110" t="s">
        <v>62</v>
      </c>
      <c r="G251" s="111" t="s">
        <v>54</v>
      </c>
      <c r="H251" s="112">
        <v>58344</v>
      </c>
      <c r="I251" s="112">
        <v>55646</v>
      </c>
      <c r="J251" s="112">
        <v>48607</v>
      </c>
      <c r="K251" s="112">
        <v>49782</v>
      </c>
      <c r="L251" s="112">
        <v>41642</v>
      </c>
      <c r="M251" s="112">
        <v>36706</v>
      </c>
      <c r="N251" s="112">
        <v>38011</v>
      </c>
      <c r="O251" s="112">
        <v>31065</v>
      </c>
      <c r="P251" s="112">
        <v>25524</v>
      </c>
      <c r="R251" s="111" t="s">
        <v>54</v>
      </c>
      <c r="S251" s="220">
        <v>4.7</v>
      </c>
      <c r="T251" s="220">
        <v>5.6</v>
      </c>
      <c r="U251" s="220">
        <v>5.9</v>
      </c>
      <c r="V251" s="220">
        <v>5.2</v>
      </c>
      <c r="W251" s="220">
        <v>6.9</v>
      </c>
      <c r="X251" s="220">
        <v>7.9</v>
      </c>
      <c r="Y251" s="220">
        <v>8</v>
      </c>
      <c r="Z251" s="220">
        <v>9.8000000000000007</v>
      </c>
      <c r="AA251" s="220">
        <v>10.6</v>
      </c>
      <c r="AC251" s="111" t="s">
        <v>54</v>
      </c>
      <c r="AD251" s="112">
        <f t="shared" si="227"/>
        <v>5484.3359999999993</v>
      </c>
      <c r="AE251" s="112">
        <f t="shared" si="223"/>
        <v>6232.3519999999999</v>
      </c>
      <c r="AF251" s="112">
        <f t="shared" si="223"/>
        <v>5735.6260000000002</v>
      </c>
      <c r="AG251" s="112">
        <f t="shared" si="223"/>
        <v>5177.3280000000004</v>
      </c>
      <c r="AH251" s="112">
        <f t="shared" si="223"/>
        <v>5746.5959999999995</v>
      </c>
      <c r="AI251" s="112">
        <f t="shared" si="223"/>
        <v>5799.5480000000007</v>
      </c>
      <c r="AJ251" s="112">
        <f t="shared" si="223"/>
        <v>6081.76</v>
      </c>
      <c r="AK251" s="112">
        <f t="shared" si="223"/>
        <v>6088.74</v>
      </c>
      <c r="AL251" s="112">
        <f t="shared" si="223"/>
        <v>5411.0879999999997</v>
      </c>
      <c r="AN251" s="111" t="s">
        <v>54</v>
      </c>
      <c r="AO251" s="113">
        <f t="shared" ref="AO251:AW251" si="237">H251/H250</f>
        <v>0.3328408189810087</v>
      </c>
      <c r="AP251" s="113">
        <f t="shared" si="237"/>
        <v>0.32833953869846644</v>
      </c>
      <c r="AQ251" s="113">
        <f t="shared" si="237"/>
        <v>0.30227669881780811</v>
      </c>
      <c r="AR251" s="113">
        <f t="shared" si="237"/>
        <v>0.32577071322466022</v>
      </c>
      <c r="AS251" s="113">
        <f t="shared" si="237"/>
        <v>0.28808024904877205</v>
      </c>
      <c r="AT251" s="113">
        <f t="shared" si="237"/>
        <v>0.26580252724573661</v>
      </c>
      <c r="AU251" s="113">
        <f t="shared" si="237"/>
        <v>0.28185734730347994</v>
      </c>
      <c r="AV251" s="113">
        <f t="shared" si="237"/>
        <v>0.21587758250463859</v>
      </c>
      <c r="AW251" s="113">
        <f t="shared" si="237"/>
        <v>0.18683297465852694</v>
      </c>
      <c r="AY251" s="111" t="s">
        <v>54</v>
      </c>
      <c r="AZ251" s="179">
        <f t="shared" si="225"/>
        <v>3.1287036984214818E-2</v>
      </c>
      <c r="BA251" s="179">
        <f t="shared" si="225"/>
        <v>3.6774028334228243E-2</v>
      </c>
      <c r="BB251" s="179">
        <f t="shared" si="225"/>
        <v>3.5668650460501362E-2</v>
      </c>
      <c r="BC251" s="179">
        <f t="shared" si="225"/>
        <v>3.3880154175364663E-2</v>
      </c>
      <c r="BD251" s="179">
        <f t="shared" si="225"/>
        <v>3.9755074368730547E-2</v>
      </c>
      <c r="BE251" s="179">
        <f t="shared" si="225"/>
        <v>4.1996799304826381E-2</v>
      </c>
      <c r="BF251" s="179">
        <f t="shared" si="225"/>
        <v>4.5097175568556788E-2</v>
      </c>
      <c r="BG251" s="179">
        <f t="shared" si="225"/>
        <v>4.2312006170909161E-2</v>
      </c>
      <c r="BH251" s="179">
        <f t="shared" si="225"/>
        <v>3.9608590627607708E-2</v>
      </c>
    </row>
    <row r="252" spans="2:68" s="108" customFormat="1" x14ac:dyDescent="0.25">
      <c r="B252" s="107"/>
      <c r="E252" s="109" t="s">
        <v>2</v>
      </c>
      <c r="F252" s="110" t="s">
        <v>62</v>
      </c>
      <c r="G252" s="111" t="s">
        <v>55</v>
      </c>
      <c r="H252" s="70">
        <v>43080</v>
      </c>
      <c r="I252" s="70">
        <v>41841</v>
      </c>
      <c r="J252" s="70">
        <v>40955</v>
      </c>
      <c r="K252" s="70">
        <v>33082</v>
      </c>
      <c r="L252" s="70">
        <v>31169</v>
      </c>
      <c r="M252" s="70">
        <v>33002</v>
      </c>
      <c r="N252" s="70">
        <v>26343</v>
      </c>
      <c r="O252" s="112">
        <v>34789</v>
      </c>
      <c r="P252" s="112">
        <v>31284</v>
      </c>
      <c r="R252" s="111" t="s">
        <v>55</v>
      </c>
      <c r="S252" s="81">
        <v>5.7</v>
      </c>
      <c r="T252" s="81">
        <v>6.8</v>
      </c>
      <c r="U252" s="81">
        <v>6.5</v>
      </c>
      <c r="V252" s="81">
        <v>7.2</v>
      </c>
      <c r="W252" s="81">
        <v>7.6</v>
      </c>
      <c r="X252" s="81">
        <v>8.8000000000000007</v>
      </c>
      <c r="Y252" s="81">
        <v>9.4</v>
      </c>
      <c r="Z252" s="81">
        <v>9.8000000000000007</v>
      </c>
      <c r="AA252" s="81">
        <v>8.8000000000000007</v>
      </c>
      <c r="AC252" s="111" t="s">
        <v>55</v>
      </c>
      <c r="AD252" s="70">
        <f t="shared" si="227"/>
        <v>4911.12</v>
      </c>
      <c r="AE252" s="70">
        <f t="shared" si="223"/>
        <v>5690.3760000000002</v>
      </c>
      <c r="AF252" s="70">
        <f t="shared" si="223"/>
        <v>5324.15</v>
      </c>
      <c r="AG252" s="70">
        <f t="shared" si="223"/>
        <v>4763.808</v>
      </c>
      <c r="AH252" s="70">
        <f t="shared" si="223"/>
        <v>4737.6880000000001</v>
      </c>
      <c r="AI252" s="70">
        <f t="shared" si="223"/>
        <v>5808.3520000000008</v>
      </c>
      <c r="AJ252" s="70">
        <f t="shared" si="223"/>
        <v>4952.4840000000004</v>
      </c>
      <c r="AK252" s="70">
        <f t="shared" si="223"/>
        <v>6818.6440000000002</v>
      </c>
      <c r="AL252" s="70">
        <f t="shared" si="223"/>
        <v>5505.9840000000004</v>
      </c>
      <c r="AN252" s="111" t="s">
        <v>55</v>
      </c>
      <c r="AO252" s="113">
        <f t="shared" ref="AO252:AW252" si="238">H252/H250</f>
        <v>0.2457627602101648</v>
      </c>
      <c r="AP252" s="113">
        <f t="shared" si="238"/>
        <v>0.24688305787806014</v>
      </c>
      <c r="AQ252" s="113">
        <f t="shared" si="238"/>
        <v>0.25469052194299857</v>
      </c>
      <c r="AR252" s="113">
        <f t="shared" si="238"/>
        <v>0.21648681722104796</v>
      </c>
      <c r="AS252" s="113">
        <f t="shared" si="238"/>
        <v>0.21562781044621238</v>
      </c>
      <c r="AT252" s="113">
        <f t="shared" si="238"/>
        <v>0.23898041203519316</v>
      </c>
      <c r="AU252" s="113">
        <f t="shared" si="238"/>
        <v>0.19533735234578337</v>
      </c>
      <c r="AV252" s="113">
        <f t="shared" si="238"/>
        <v>0.2417564853614638</v>
      </c>
      <c r="AW252" s="113">
        <f t="shared" si="238"/>
        <v>0.2289955641442312</v>
      </c>
      <c r="AY252" s="111" t="s">
        <v>55</v>
      </c>
      <c r="AZ252" s="179">
        <f t="shared" si="225"/>
        <v>2.8016954663958787E-2</v>
      </c>
      <c r="BA252" s="179">
        <f t="shared" si="225"/>
        <v>3.3576095871416183E-2</v>
      </c>
      <c r="BB252" s="179">
        <f t="shared" si="225"/>
        <v>3.3109767852589816E-2</v>
      </c>
      <c r="BC252" s="179">
        <f t="shared" si="225"/>
        <v>3.1174101679830906E-2</v>
      </c>
      <c r="BD252" s="179">
        <f t="shared" si="225"/>
        <v>3.277542718782428E-2</v>
      </c>
      <c r="BE252" s="179">
        <f t="shared" si="225"/>
        <v>4.2060552518194003E-2</v>
      </c>
      <c r="BF252" s="179">
        <f t="shared" si="225"/>
        <v>3.6723422241007275E-2</v>
      </c>
      <c r="BG252" s="179">
        <f t="shared" si="225"/>
        <v>4.7384271130846908E-2</v>
      </c>
      <c r="BH252" s="179">
        <f t="shared" si="225"/>
        <v>4.0303219289384691E-2</v>
      </c>
    </row>
    <row r="253" spans="2:68" s="108" customFormat="1" x14ac:dyDescent="0.25">
      <c r="B253" s="107"/>
      <c r="E253" s="109" t="s">
        <v>2</v>
      </c>
      <c r="F253" s="110" t="s">
        <v>62</v>
      </c>
      <c r="G253" s="111" t="s">
        <v>130</v>
      </c>
      <c r="H253" s="70">
        <v>23141</v>
      </c>
      <c r="I253" s="70">
        <v>24689</v>
      </c>
      <c r="J253" s="70">
        <v>21490</v>
      </c>
      <c r="K253" s="70">
        <v>22995</v>
      </c>
      <c r="L253" s="70">
        <v>23353</v>
      </c>
      <c r="M253" s="70">
        <v>24948</v>
      </c>
      <c r="N253" s="70">
        <v>22067</v>
      </c>
      <c r="O253" s="112">
        <v>27309</v>
      </c>
      <c r="P253" s="112">
        <v>17376</v>
      </c>
      <c r="R253" s="111" t="s">
        <v>130</v>
      </c>
      <c r="S253" s="220">
        <v>8.6999999999999993</v>
      </c>
      <c r="T253" s="220">
        <v>9.3000000000000007</v>
      </c>
      <c r="U253" s="220">
        <v>9.8000000000000007</v>
      </c>
      <c r="V253" s="220">
        <v>8.6999999999999993</v>
      </c>
      <c r="W253" s="220">
        <v>9.4</v>
      </c>
      <c r="X253" s="220">
        <v>10.1</v>
      </c>
      <c r="Y253" s="220">
        <v>10.1</v>
      </c>
      <c r="Z253" s="220">
        <v>11.1</v>
      </c>
      <c r="AA253" s="220">
        <v>13.2</v>
      </c>
      <c r="AC253" s="111" t="s">
        <v>130</v>
      </c>
      <c r="AD253" s="70">
        <f t="shared" si="227"/>
        <v>4026.5339999999997</v>
      </c>
      <c r="AE253" s="70">
        <f t="shared" si="223"/>
        <v>4592.1540000000005</v>
      </c>
      <c r="AF253" s="70">
        <f t="shared" si="223"/>
        <v>4212.0400000000009</v>
      </c>
      <c r="AG253" s="70">
        <f t="shared" si="223"/>
        <v>4001.1299999999992</v>
      </c>
      <c r="AH253" s="70">
        <f t="shared" si="223"/>
        <v>4390.3640000000005</v>
      </c>
      <c r="AI253" s="70">
        <f t="shared" si="223"/>
        <v>5039.4960000000001</v>
      </c>
      <c r="AJ253" s="70">
        <f t="shared" si="223"/>
        <v>4457.5339999999997</v>
      </c>
      <c r="AK253" s="70">
        <f t="shared" si="223"/>
        <v>6062.597999999999</v>
      </c>
      <c r="AL253" s="70">
        <f t="shared" si="223"/>
        <v>4587.2639999999992</v>
      </c>
      <c r="AN253" s="111" t="s">
        <v>130</v>
      </c>
      <c r="AO253" s="113">
        <f t="shared" ref="AO253:AW253" si="239">H253/H250</f>
        <v>0.13201476402097084</v>
      </c>
      <c r="AP253" s="113">
        <f t="shared" si="239"/>
        <v>0.14567758456899757</v>
      </c>
      <c r="AQ253" s="113">
        <f t="shared" si="239"/>
        <v>0.13364178529007542</v>
      </c>
      <c r="AR253" s="113">
        <f t="shared" si="239"/>
        <v>0.15047803524569245</v>
      </c>
      <c r="AS253" s="113">
        <f t="shared" si="239"/>
        <v>0.16155655482531997</v>
      </c>
      <c r="AT253" s="113">
        <f t="shared" si="239"/>
        <v>0.18065824251421123</v>
      </c>
      <c r="AU253" s="113">
        <f t="shared" si="239"/>
        <v>0.16363016187277082</v>
      </c>
      <c r="AV253" s="113">
        <f t="shared" si="239"/>
        <v>0.18977630454270644</v>
      </c>
      <c r="AW253" s="113">
        <f t="shared" si="239"/>
        <v>0.12719047828187449</v>
      </c>
      <c r="AY253" s="111" t="s">
        <v>130</v>
      </c>
      <c r="AZ253" s="179">
        <f t="shared" si="225"/>
        <v>2.2970568939648925E-2</v>
      </c>
      <c r="BA253" s="179">
        <f t="shared" si="225"/>
        <v>2.7096030729833548E-2</v>
      </c>
      <c r="BB253" s="179">
        <f t="shared" si="225"/>
        <v>2.6193789916854785E-2</v>
      </c>
      <c r="BC253" s="179">
        <f t="shared" si="225"/>
        <v>2.6183178132750486E-2</v>
      </c>
      <c r="BD253" s="179">
        <f t="shared" si="225"/>
        <v>3.0372632307160155E-2</v>
      </c>
      <c r="BE253" s="179">
        <f t="shared" si="225"/>
        <v>3.6492964987870663E-2</v>
      </c>
      <c r="BF253" s="179">
        <f t="shared" si="225"/>
        <v>3.3053292698299701E-2</v>
      </c>
      <c r="BG253" s="179">
        <f t="shared" si="225"/>
        <v>4.2130339608480831E-2</v>
      </c>
      <c r="BH253" s="179">
        <f t="shared" si="225"/>
        <v>3.3578286266414861E-2</v>
      </c>
    </row>
    <row r="254" spans="2:68" s="108" customFormat="1" x14ac:dyDescent="0.25">
      <c r="B254" s="107"/>
      <c r="E254" s="109" t="s">
        <v>2</v>
      </c>
      <c r="F254" s="110" t="s">
        <v>62</v>
      </c>
      <c r="G254" s="111" t="s">
        <v>131</v>
      </c>
      <c r="H254" s="112">
        <v>50589</v>
      </c>
      <c r="I254" s="112">
        <v>46975</v>
      </c>
      <c r="J254" s="112">
        <v>49751</v>
      </c>
      <c r="K254" s="112">
        <v>46953</v>
      </c>
      <c r="L254" s="112">
        <v>48386</v>
      </c>
      <c r="M254" s="112">
        <v>43440</v>
      </c>
      <c r="N254" s="112">
        <v>48438</v>
      </c>
      <c r="O254" s="112">
        <v>50738</v>
      </c>
      <c r="P254" s="112">
        <v>62430</v>
      </c>
      <c r="R254" s="111" t="s">
        <v>131</v>
      </c>
      <c r="S254" s="220">
        <v>5.4</v>
      </c>
      <c r="T254" s="220">
        <v>6.4</v>
      </c>
      <c r="U254" s="220">
        <v>6.1</v>
      </c>
      <c r="V254" s="220">
        <v>5.2</v>
      </c>
      <c r="W254" s="220">
        <v>6.3</v>
      </c>
      <c r="X254" s="220">
        <v>7.1</v>
      </c>
      <c r="Y254" s="220">
        <v>6.2</v>
      </c>
      <c r="Z254" s="220">
        <v>6.9</v>
      </c>
      <c r="AA254" s="220">
        <v>5.2</v>
      </c>
      <c r="AC254" s="111" t="s">
        <v>131</v>
      </c>
      <c r="AD254" s="112">
        <f t="shared" si="227"/>
        <v>5463.612000000001</v>
      </c>
      <c r="AE254" s="112">
        <f t="shared" si="223"/>
        <v>6012.8</v>
      </c>
      <c r="AF254" s="112">
        <f t="shared" si="223"/>
        <v>6069.6219999999994</v>
      </c>
      <c r="AG254" s="112">
        <f t="shared" si="223"/>
        <v>4883.1120000000001</v>
      </c>
      <c r="AH254" s="112">
        <f t="shared" si="223"/>
        <v>6096.6359999999995</v>
      </c>
      <c r="AI254" s="112">
        <f t="shared" si="223"/>
        <v>6168.48</v>
      </c>
      <c r="AJ254" s="112">
        <f t="shared" si="223"/>
        <v>6006.3120000000008</v>
      </c>
      <c r="AK254" s="112">
        <f t="shared" si="223"/>
        <v>7001.8440000000001</v>
      </c>
      <c r="AL254" s="112">
        <f t="shared" si="223"/>
        <v>6492.72</v>
      </c>
      <c r="AN254" s="111" t="s">
        <v>131</v>
      </c>
      <c r="AO254" s="113">
        <f t="shared" ref="AO254:AW254" si="240">H254/H250</f>
        <v>0.28860009926351038</v>
      </c>
      <c r="AP254" s="113">
        <f t="shared" si="240"/>
        <v>0.2771762540049682</v>
      </c>
      <c r="AQ254" s="113">
        <f t="shared" si="240"/>
        <v>0.30939099394911784</v>
      </c>
      <c r="AR254" s="113">
        <f t="shared" si="240"/>
        <v>0.30725789036273093</v>
      </c>
      <c r="AS254" s="113">
        <f t="shared" si="240"/>
        <v>0.33473538567969563</v>
      </c>
      <c r="AT254" s="113">
        <f t="shared" si="240"/>
        <v>0.31456605959665446</v>
      </c>
      <c r="AU254" s="113">
        <f t="shared" si="240"/>
        <v>0.35917513847796589</v>
      </c>
      <c r="AV254" s="113">
        <f t="shared" si="240"/>
        <v>0.35258962759119117</v>
      </c>
      <c r="AW254" s="113">
        <f t="shared" si="240"/>
        <v>0.45698098291536737</v>
      </c>
      <c r="AY254" s="111" t="s">
        <v>131</v>
      </c>
      <c r="AZ254" s="179">
        <f t="shared" si="225"/>
        <v>3.1168810720459121E-2</v>
      </c>
      <c r="BA254" s="179">
        <f t="shared" si="225"/>
        <v>3.5478560512635933E-2</v>
      </c>
      <c r="BB254" s="179">
        <f t="shared" si="225"/>
        <v>3.7745701261792372E-2</v>
      </c>
      <c r="BC254" s="179">
        <f t="shared" si="225"/>
        <v>3.1954820597724018E-2</v>
      </c>
      <c r="BD254" s="179">
        <f t="shared" si="225"/>
        <v>4.2176658595641653E-2</v>
      </c>
      <c r="BE254" s="179">
        <f t="shared" si="225"/>
        <v>4.4668380462724935E-2</v>
      </c>
      <c r="BF254" s="179">
        <f t="shared" si="225"/>
        <v>4.4537717171267775E-2</v>
      </c>
      <c r="BG254" s="179">
        <f t="shared" si="225"/>
        <v>4.8657368607584385E-2</v>
      </c>
      <c r="BH254" s="179">
        <f t="shared" si="225"/>
        <v>4.7526022223198211E-2</v>
      </c>
    </row>
    <row r="255" spans="2:68" s="87" customFormat="1" x14ac:dyDescent="0.25">
      <c r="B255" s="84"/>
      <c r="C255" s="85"/>
      <c r="D255" s="85"/>
      <c r="E255" s="109" t="s">
        <v>3</v>
      </c>
      <c r="F255" s="110" t="s">
        <v>62</v>
      </c>
      <c r="G255" s="195" t="s">
        <v>7</v>
      </c>
      <c r="H255" s="69">
        <v>185716</v>
      </c>
      <c r="I255" s="69">
        <v>198689</v>
      </c>
      <c r="J255" s="69">
        <v>207749</v>
      </c>
      <c r="K255" s="69">
        <v>219510</v>
      </c>
      <c r="L255" s="69">
        <v>225458</v>
      </c>
      <c r="M255" s="69">
        <v>228732</v>
      </c>
      <c r="N255" s="69">
        <v>226210</v>
      </c>
      <c r="O255" s="69">
        <v>226388</v>
      </c>
      <c r="P255" s="69">
        <v>228251</v>
      </c>
      <c r="R255" s="195" t="s">
        <v>7</v>
      </c>
      <c r="S255" s="226">
        <v>1.1000000000000001</v>
      </c>
      <c r="T255" s="226">
        <v>3.5</v>
      </c>
      <c r="U255" s="226">
        <v>1.1000000000000001</v>
      </c>
      <c r="V255" s="226">
        <v>0.9</v>
      </c>
      <c r="W255" s="226">
        <v>1</v>
      </c>
      <c r="X255" s="226">
        <v>1.2</v>
      </c>
      <c r="Y255" s="226">
        <v>1</v>
      </c>
      <c r="Z255" s="226">
        <v>1.3</v>
      </c>
      <c r="AA255" s="226">
        <v>1.3</v>
      </c>
      <c r="AC255" s="195" t="s">
        <v>7</v>
      </c>
      <c r="AD255" s="69">
        <f t="shared" si="227"/>
        <v>4085.752</v>
      </c>
      <c r="AE255" s="69">
        <f t="shared" si="223"/>
        <v>13908.23</v>
      </c>
      <c r="AF255" s="69">
        <f t="shared" si="223"/>
        <v>4570.4780000000001</v>
      </c>
      <c r="AG255" s="69">
        <f t="shared" si="223"/>
        <v>3951.18</v>
      </c>
      <c r="AH255" s="69">
        <f t="shared" si="223"/>
        <v>4509.16</v>
      </c>
      <c r="AI255" s="69">
        <f t="shared" si="223"/>
        <v>5489.5679999999993</v>
      </c>
      <c r="AJ255" s="69">
        <f t="shared" si="223"/>
        <v>4524.2</v>
      </c>
      <c r="AK255" s="69">
        <f t="shared" si="223"/>
        <v>5886.0880000000006</v>
      </c>
      <c r="AL255" s="69">
        <f t="shared" si="223"/>
        <v>5934.5259999999998</v>
      </c>
      <c r="AN255" s="195" t="s">
        <v>7</v>
      </c>
      <c r="AO255" s="98">
        <f t="shared" ref="AO255:AW255" si="241">H255/H255</f>
        <v>1</v>
      </c>
      <c r="AP255" s="98">
        <f t="shared" si="241"/>
        <v>1</v>
      </c>
      <c r="AQ255" s="98">
        <f t="shared" si="241"/>
        <v>1</v>
      </c>
      <c r="AR255" s="98">
        <f t="shared" si="241"/>
        <v>1</v>
      </c>
      <c r="AS255" s="98">
        <f t="shared" si="241"/>
        <v>1</v>
      </c>
      <c r="AT255" s="98">
        <f t="shared" si="241"/>
        <v>1</v>
      </c>
      <c r="AU255" s="98">
        <f t="shared" si="241"/>
        <v>1</v>
      </c>
      <c r="AV255" s="98">
        <f t="shared" si="241"/>
        <v>1</v>
      </c>
      <c r="AW255" s="98">
        <f t="shared" si="241"/>
        <v>1</v>
      </c>
      <c r="AX255" s="191"/>
      <c r="AY255" s="195" t="s">
        <v>7</v>
      </c>
      <c r="AZ255" s="178">
        <f t="shared" si="225"/>
        <v>2.2000000000000002E-2</v>
      </c>
      <c r="BA255" s="178">
        <f t="shared" si="225"/>
        <v>7.0000000000000007E-2</v>
      </c>
      <c r="BB255" s="178">
        <f t="shared" si="225"/>
        <v>2.2000000000000002E-2</v>
      </c>
      <c r="BC255" s="178">
        <f t="shared" si="225"/>
        <v>1.8000000000000002E-2</v>
      </c>
      <c r="BD255" s="178">
        <f t="shared" si="225"/>
        <v>0.02</v>
      </c>
      <c r="BE255" s="178">
        <f t="shared" si="225"/>
        <v>2.4E-2</v>
      </c>
      <c r="BF255" s="178">
        <f t="shared" si="225"/>
        <v>0.02</v>
      </c>
      <c r="BG255" s="178">
        <f t="shared" si="225"/>
        <v>2.6000000000000002E-2</v>
      </c>
      <c r="BH255" s="178">
        <f t="shared" si="225"/>
        <v>2.6000000000000002E-2</v>
      </c>
      <c r="BI255" s="191"/>
      <c r="BJ255" s="191"/>
      <c r="BK255" s="191"/>
      <c r="BL255" s="191"/>
      <c r="BM255" s="191"/>
      <c r="BN255" s="191"/>
      <c r="BO255" s="191"/>
      <c r="BP255" s="191"/>
    </row>
    <row r="256" spans="2:68" s="108" customFormat="1" x14ac:dyDescent="0.25">
      <c r="B256" s="107"/>
      <c r="E256" s="109" t="s">
        <v>3</v>
      </c>
      <c r="F256" s="110" t="s">
        <v>62</v>
      </c>
      <c r="G256" s="111" t="s">
        <v>54</v>
      </c>
      <c r="H256" s="112">
        <v>48150</v>
      </c>
      <c r="I256" s="112">
        <v>51441</v>
      </c>
      <c r="J256" s="112">
        <v>47457</v>
      </c>
      <c r="K256" s="112">
        <v>54243</v>
      </c>
      <c r="L256" s="112">
        <v>53186</v>
      </c>
      <c r="M256" s="112">
        <v>59072</v>
      </c>
      <c r="N256" s="112">
        <v>54567</v>
      </c>
      <c r="O256" s="112">
        <v>43754</v>
      </c>
      <c r="P256" s="112">
        <v>34297</v>
      </c>
      <c r="R256" s="111" t="s">
        <v>54</v>
      </c>
      <c r="S256" s="220">
        <v>5.7</v>
      </c>
      <c r="T256" s="220">
        <v>5.8</v>
      </c>
      <c r="U256" s="220">
        <v>6.1</v>
      </c>
      <c r="V256" s="220">
        <v>5.7</v>
      </c>
      <c r="W256" s="220">
        <v>6.3</v>
      </c>
      <c r="X256" s="220">
        <v>6.3</v>
      </c>
      <c r="Y256" s="220">
        <v>6.2</v>
      </c>
      <c r="Z256" s="220">
        <v>8.8000000000000007</v>
      </c>
      <c r="AA256" s="220">
        <v>9.6999999999999993</v>
      </c>
      <c r="AC256" s="111" t="s">
        <v>54</v>
      </c>
      <c r="AD256" s="112">
        <f t="shared" si="227"/>
        <v>5489.1</v>
      </c>
      <c r="AE256" s="112">
        <f t="shared" si="223"/>
        <v>5967.1559999999999</v>
      </c>
      <c r="AF256" s="112">
        <f t="shared" si="223"/>
        <v>5789.7539999999999</v>
      </c>
      <c r="AG256" s="112">
        <f t="shared" si="223"/>
        <v>6183.7020000000011</v>
      </c>
      <c r="AH256" s="112">
        <f t="shared" si="223"/>
        <v>6701.4359999999997</v>
      </c>
      <c r="AI256" s="112">
        <f t="shared" si="223"/>
        <v>7443.0719999999992</v>
      </c>
      <c r="AJ256" s="112">
        <f t="shared" si="223"/>
        <v>6766.3080000000009</v>
      </c>
      <c r="AK256" s="112">
        <f t="shared" si="223"/>
        <v>7700.7040000000006</v>
      </c>
      <c r="AL256" s="112">
        <f t="shared" si="223"/>
        <v>6653.6179999999995</v>
      </c>
      <c r="AN256" s="111" t="s">
        <v>54</v>
      </c>
      <c r="AO256" s="113">
        <f t="shared" ref="AO256:AW256" si="242">H256/H255</f>
        <v>0.25926683753688429</v>
      </c>
      <c r="AP256" s="113">
        <f t="shared" si="242"/>
        <v>0.2589021032870466</v>
      </c>
      <c r="AQ256" s="113">
        <f t="shared" si="242"/>
        <v>0.22843431255986793</v>
      </c>
      <c r="AR256" s="113">
        <f t="shared" si="242"/>
        <v>0.24710947109471096</v>
      </c>
      <c r="AS256" s="113">
        <f t="shared" si="242"/>
        <v>0.23590203053340311</v>
      </c>
      <c r="AT256" s="113">
        <f t="shared" si="242"/>
        <v>0.25825857335222008</v>
      </c>
      <c r="AU256" s="113">
        <f t="shared" si="242"/>
        <v>0.2412227576146059</v>
      </c>
      <c r="AV256" s="113">
        <f t="shared" si="242"/>
        <v>0.19326996130536955</v>
      </c>
      <c r="AW256" s="113">
        <f t="shared" si="242"/>
        <v>0.15026002076661218</v>
      </c>
      <c r="AY256" s="111" t="s">
        <v>54</v>
      </c>
      <c r="AZ256" s="179">
        <f t="shared" si="225"/>
        <v>2.9556419479204812E-2</v>
      </c>
      <c r="BA256" s="179">
        <f t="shared" si="225"/>
        <v>3.0032643981297406E-2</v>
      </c>
      <c r="BB256" s="179">
        <f t="shared" si="225"/>
        <v>2.7868986132303885E-2</v>
      </c>
      <c r="BC256" s="179">
        <f t="shared" si="225"/>
        <v>2.8170479704797052E-2</v>
      </c>
      <c r="BD256" s="179">
        <f t="shared" si="225"/>
        <v>2.9723655847208791E-2</v>
      </c>
      <c r="BE256" s="179">
        <f t="shared" si="225"/>
        <v>3.2540580242379734E-2</v>
      </c>
      <c r="BF256" s="179">
        <f t="shared" si="225"/>
        <v>2.9911621944211132E-2</v>
      </c>
      <c r="BG256" s="179">
        <f t="shared" si="225"/>
        <v>3.4015513189745043E-2</v>
      </c>
      <c r="BH256" s="179">
        <f t="shared" si="225"/>
        <v>2.9150444028722758E-2</v>
      </c>
    </row>
    <row r="257" spans="2:68" s="108" customFormat="1" x14ac:dyDescent="0.25">
      <c r="B257" s="107"/>
      <c r="E257" s="109" t="s">
        <v>3</v>
      </c>
      <c r="F257" s="110" t="s">
        <v>62</v>
      </c>
      <c r="G257" s="111" t="s">
        <v>55</v>
      </c>
      <c r="H257" s="70">
        <v>71977</v>
      </c>
      <c r="I257" s="70">
        <v>77827</v>
      </c>
      <c r="J257" s="112">
        <v>88853</v>
      </c>
      <c r="K257" s="112">
        <v>87295</v>
      </c>
      <c r="L257" s="112">
        <v>81191</v>
      </c>
      <c r="M257" s="112">
        <v>89919</v>
      </c>
      <c r="N257" s="112">
        <v>86391</v>
      </c>
      <c r="O257" s="112">
        <v>85085</v>
      </c>
      <c r="P257" s="112">
        <v>80355</v>
      </c>
      <c r="R257" s="111" t="s">
        <v>55</v>
      </c>
      <c r="S257" s="81">
        <v>4.2</v>
      </c>
      <c r="T257" s="81">
        <v>4.5999999999999996</v>
      </c>
      <c r="U257" s="81">
        <v>4</v>
      </c>
      <c r="V257" s="81">
        <v>3.7</v>
      </c>
      <c r="W257" s="81">
        <v>4.7</v>
      </c>
      <c r="X257" s="81">
        <v>4.5999999999999996</v>
      </c>
      <c r="Y257" s="81">
        <v>4.5</v>
      </c>
      <c r="Z257" s="81">
        <v>5.3</v>
      </c>
      <c r="AA257" s="81">
        <v>5.4</v>
      </c>
      <c r="AC257" s="111" t="s">
        <v>55</v>
      </c>
      <c r="AD257" s="70">
        <f t="shared" si="227"/>
        <v>6046.0680000000002</v>
      </c>
      <c r="AE257" s="70">
        <f t="shared" si="223"/>
        <v>7160.0839999999989</v>
      </c>
      <c r="AF257" s="70">
        <f t="shared" si="223"/>
        <v>7108.24</v>
      </c>
      <c r="AG257" s="70">
        <f t="shared" si="223"/>
        <v>6459.83</v>
      </c>
      <c r="AH257" s="70">
        <f t="shared" si="223"/>
        <v>7631.9540000000006</v>
      </c>
      <c r="AI257" s="70">
        <f t="shared" si="223"/>
        <v>8272.5479999999989</v>
      </c>
      <c r="AJ257" s="70">
        <f t="shared" si="223"/>
        <v>7775.19</v>
      </c>
      <c r="AK257" s="70">
        <f t="shared" si="223"/>
        <v>9019.01</v>
      </c>
      <c r="AL257" s="70">
        <f t="shared" si="223"/>
        <v>8678.34</v>
      </c>
      <c r="AN257" s="111" t="s">
        <v>55</v>
      </c>
      <c r="AO257" s="113">
        <f t="shared" ref="AO257:AW257" si="243">H257/H255</f>
        <v>0.38756488401645522</v>
      </c>
      <c r="AP257" s="113">
        <f t="shared" si="243"/>
        <v>0.39170261061256534</v>
      </c>
      <c r="AQ257" s="113">
        <f t="shared" si="243"/>
        <v>0.42769399612031828</v>
      </c>
      <c r="AR257" s="113">
        <f t="shared" si="243"/>
        <v>0.39768119903421256</v>
      </c>
      <c r="AS257" s="113">
        <f t="shared" si="243"/>
        <v>0.36011585306354177</v>
      </c>
      <c r="AT257" s="113">
        <f t="shared" si="243"/>
        <v>0.3931194585803473</v>
      </c>
      <c r="AU257" s="113">
        <f t="shared" si="243"/>
        <v>0.38190619336015208</v>
      </c>
      <c r="AV257" s="113">
        <f t="shared" si="243"/>
        <v>0.37583705850133398</v>
      </c>
      <c r="AW257" s="113">
        <f t="shared" si="243"/>
        <v>0.35204665039802674</v>
      </c>
      <c r="AY257" s="111" t="s">
        <v>55</v>
      </c>
      <c r="AZ257" s="179">
        <f t="shared" si="225"/>
        <v>3.255545025738224E-2</v>
      </c>
      <c r="BA257" s="179">
        <f t="shared" si="225"/>
        <v>3.6036640176356008E-2</v>
      </c>
      <c r="BB257" s="179">
        <f t="shared" si="225"/>
        <v>3.4215519689625461E-2</v>
      </c>
      <c r="BC257" s="179">
        <f t="shared" si="225"/>
        <v>2.9428408728531731E-2</v>
      </c>
      <c r="BD257" s="179">
        <f t="shared" si="225"/>
        <v>3.385089018797293E-2</v>
      </c>
      <c r="BE257" s="179">
        <f t="shared" si="225"/>
        <v>3.616699018939195E-2</v>
      </c>
      <c r="BF257" s="179">
        <f t="shared" si="225"/>
        <v>3.437155740241369E-2</v>
      </c>
      <c r="BG257" s="179">
        <f t="shared" si="225"/>
        <v>3.9838728201141399E-2</v>
      </c>
      <c r="BH257" s="179">
        <f t="shared" si="225"/>
        <v>3.8021038242986888E-2</v>
      </c>
    </row>
    <row r="258" spans="2:68" s="108" customFormat="1" x14ac:dyDescent="0.25">
      <c r="B258" s="107"/>
      <c r="E258" s="109" t="s">
        <v>3</v>
      </c>
      <c r="F258" s="110" t="s">
        <v>62</v>
      </c>
      <c r="G258" s="111" t="s">
        <v>130</v>
      </c>
      <c r="H258" s="70">
        <v>21907</v>
      </c>
      <c r="I258" s="70">
        <v>25181</v>
      </c>
      <c r="J258" s="70">
        <v>20901</v>
      </c>
      <c r="K258" s="70">
        <v>23527</v>
      </c>
      <c r="L258" s="70">
        <v>29449</v>
      </c>
      <c r="M258" s="70">
        <v>26764</v>
      </c>
      <c r="N258" s="70">
        <v>31575</v>
      </c>
      <c r="O258" s="112">
        <v>27685</v>
      </c>
      <c r="P258" s="112">
        <v>35051</v>
      </c>
      <c r="R258" s="111" t="s">
        <v>130</v>
      </c>
      <c r="S258" s="220">
        <v>9.1</v>
      </c>
      <c r="T258" s="220">
        <v>9.4</v>
      </c>
      <c r="U258" s="220">
        <v>10</v>
      </c>
      <c r="V258" s="220">
        <v>8.9</v>
      </c>
      <c r="W258" s="220">
        <v>9.5</v>
      </c>
      <c r="X258" s="220">
        <v>9.9</v>
      </c>
      <c r="Y258" s="220">
        <v>8.1999999999999993</v>
      </c>
      <c r="Z258" s="220">
        <v>11.4</v>
      </c>
      <c r="AA258" s="220">
        <v>9.6999999999999993</v>
      </c>
      <c r="AC258" s="111" t="s">
        <v>130</v>
      </c>
      <c r="AD258" s="70">
        <f t="shared" si="227"/>
        <v>3987.0739999999996</v>
      </c>
      <c r="AE258" s="70">
        <f t="shared" si="223"/>
        <v>4734.0280000000002</v>
      </c>
      <c r="AF258" s="70">
        <f t="shared" si="223"/>
        <v>4180.2</v>
      </c>
      <c r="AG258" s="70">
        <f t="shared" si="223"/>
        <v>4187.8060000000005</v>
      </c>
      <c r="AH258" s="70">
        <f t="shared" si="223"/>
        <v>5595.31</v>
      </c>
      <c r="AI258" s="70">
        <f t="shared" si="223"/>
        <v>5299.2720000000008</v>
      </c>
      <c r="AJ258" s="70">
        <f t="shared" si="223"/>
        <v>5178.2999999999993</v>
      </c>
      <c r="AK258" s="70">
        <f t="shared" si="223"/>
        <v>6312.18</v>
      </c>
      <c r="AL258" s="70">
        <f t="shared" si="223"/>
        <v>6799.8939999999993</v>
      </c>
      <c r="AN258" s="111" t="s">
        <v>130</v>
      </c>
      <c r="AO258" s="113">
        <f t="shared" ref="AO258:AW258" si="244">H258/H255</f>
        <v>0.11795968037218119</v>
      </c>
      <c r="AP258" s="113">
        <f t="shared" si="244"/>
        <v>0.12673575285999727</v>
      </c>
      <c r="AQ258" s="113">
        <f t="shared" si="244"/>
        <v>0.1006069824644162</v>
      </c>
      <c r="AR258" s="113">
        <f t="shared" si="244"/>
        <v>0.10717962735182908</v>
      </c>
      <c r="AS258" s="113">
        <f t="shared" si="244"/>
        <v>0.13061856310266215</v>
      </c>
      <c r="AT258" s="113">
        <f t="shared" si="244"/>
        <v>0.11701030026406449</v>
      </c>
      <c r="AU258" s="113">
        <f t="shared" si="244"/>
        <v>0.13958268865213738</v>
      </c>
      <c r="AV258" s="113">
        <f t="shared" si="244"/>
        <v>0.12229005070940156</v>
      </c>
      <c r="AW258" s="113">
        <f t="shared" si="244"/>
        <v>0.15356340169374944</v>
      </c>
      <c r="AY258" s="111" t="s">
        <v>130</v>
      </c>
      <c r="AZ258" s="179">
        <f t="shared" si="225"/>
        <v>2.1468661827736976E-2</v>
      </c>
      <c r="BA258" s="179">
        <f t="shared" si="225"/>
        <v>2.3826321537679485E-2</v>
      </c>
      <c r="BB258" s="179">
        <f t="shared" si="225"/>
        <v>2.0121396492883237E-2</v>
      </c>
      <c r="BC258" s="179">
        <f t="shared" si="225"/>
        <v>1.9077973668625577E-2</v>
      </c>
      <c r="BD258" s="179">
        <f t="shared" si="225"/>
        <v>2.4817526989505807E-2</v>
      </c>
      <c r="BE258" s="179">
        <f t="shared" si="225"/>
        <v>2.316803945228477E-2</v>
      </c>
      <c r="BF258" s="179">
        <f t="shared" si="225"/>
        <v>2.2891560938950527E-2</v>
      </c>
      <c r="BG258" s="179">
        <f t="shared" si="225"/>
        <v>2.7882131561743555E-2</v>
      </c>
      <c r="BH258" s="179">
        <f t="shared" si="225"/>
        <v>2.9791299928587388E-2</v>
      </c>
    </row>
    <row r="259" spans="2:68" s="108" customFormat="1" x14ac:dyDescent="0.25">
      <c r="B259" s="107"/>
      <c r="E259" s="109" t="s">
        <v>3</v>
      </c>
      <c r="F259" s="110" t="s">
        <v>62</v>
      </c>
      <c r="G259" s="111" t="s">
        <v>131</v>
      </c>
      <c r="H259" s="112">
        <v>43682</v>
      </c>
      <c r="I259" s="112">
        <v>44240</v>
      </c>
      <c r="J259" s="112">
        <v>50538</v>
      </c>
      <c r="K259" s="112">
        <v>53983</v>
      </c>
      <c r="L259" s="112">
        <v>61632</v>
      </c>
      <c r="M259" s="112">
        <v>52977</v>
      </c>
      <c r="N259" s="112">
        <v>53676</v>
      </c>
      <c r="O259" s="112">
        <v>69864</v>
      </c>
      <c r="P259" s="112">
        <v>78548</v>
      </c>
      <c r="R259" s="111" t="s">
        <v>131</v>
      </c>
      <c r="S259" s="220">
        <v>6.2</v>
      </c>
      <c r="T259" s="220">
        <v>7</v>
      </c>
      <c r="U259" s="220">
        <v>6</v>
      </c>
      <c r="V259" s="220">
        <v>5.4</v>
      </c>
      <c r="W259" s="220">
        <v>5.6</v>
      </c>
      <c r="X259" s="220">
        <v>6.6</v>
      </c>
      <c r="Y259" s="220">
        <v>6.5</v>
      </c>
      <c r="Z259" s="220">
        <v>6.2</v>
      </c>
      <c r="AA259" s="220">
        <v>5.5</v>
      </c>
      <c r="AC259" s="111" t="s">
        <v>131</v>
      </c>
      <c r="AD259" s="112">
        <f t="shared" si="227"/>
        <v>5416.5680000000002</v>
      </c>
      <c r="AE259" s="112">
        <f t="shared" si="223"/>
        <v>6193.6</v>
      </c>
      <c r="AF259" s="112">
        <f t="shared" si="223"/>
        <v>6064.56</v>
      </c>
      <c r="AG259" s="112">
        <f t="shared" si="223"/>
        <v>5830.1640000000007</v>
      </c>
      <c r="AH259" s="112">
        <f t="shared" si="223"/>
        <v>6902.7839999999987</v>
      </c>
      <c r="AI259" s="112">
        <f t="shared" si="223"/>
        <v>6992.963999999999</v>
      </c>
      <c r="AJ259" s="112">
        <f t="shared" si="223"/>
        <v>6977.88</v>
      </c>
      <c r="AK259" s="112">
        <f t="shared" si="223"/>
        <v>8663.1360000000004</v>
      </c>
      <c r="AL259" s="112">
        <f t="shared" si="223"/>
        <v>8640.2800000000007</v>
      </c>
      <c r="AN259" s="111" t="s">
        <v>131</v>
      </c>
      <c r="AO259" s="113">
        <f t="shared" ref="AO259:AW259" si="245">H259/H255</f>
        <v>0.2352085980744793</v>
      </c>
      <c r="AP259" s="113">
        <f t="shared" si="245"/>
        <v>0.22265953324039076</v>
      </c>
      <c r="AQ259" s="113">
        <f t="shared" si="245"/>
        <v>0.24326470885539761</v>
      </c>
      <c r="AR259" s="113">
        <f t="shared" si="245"/>
        <v>0.24592501480570361</v>
      </c>
      <c r="AS259" s="113">
        <f t="shared" si="245"/>
        <v>0.27336355330039297</v>
      </c>
      <c r="AT259" s="113">
        <f t="shared" si="245"/>
        <v>0.23161166780336814</v>
      </c>
      <c r="AU259" s="113">
        <f t="shared" si="245"/>
        <v>0.23728393970204678</v>
      </c>
      <c r="AV259" s="113">
        <f t="shared" si="245"/>
        <v>0.30860292948389489</v>
      </c>
      <c r="AW259" s="113">
        <f t="shared" si="245"/>
        <v>0.34412992714161167</v>
      </c>
      <c r="AY259" s="111" t="s">
        <v>131</v>
      </c>
      <c r="AZ259" s="179">
        <f t="shared" si="225"/>
        <v>2.9165866161235433E-2</v>
      </c>
      <c r="BA259" s="179">
        <f t="shared" si="225"/>
        <v>3.1172334653654706E-2</v>
      </c>
      <c r="BB259" s="179">
        <f t="shared" si="225"/>
        <v>2.9191765062647711E-2</v>
      </c>
      <c r="BC259" s="179">
        <f t="shared" si="225"/>
        <v>2.655990159901599E-2</v>
      </c>
      <c r="BD259" s="179">
        <f t="shared" si="225"/>
        <v>3.0616717969644013E-2</v>
      </c>
      <c r="BE259" s="179">
        <f t="shared" si="225"/>
        <v>3.0572740150044596E-2</v>
      </c>
      <c r="BF259" s="179">
        <f t="shared" si="225"/>
        <v>3.0846912161266081E-2</v>
      </c>
      <c r="BG259" s="179">
        <f t="shared" si="225"/>
        <v>3.8266763256002971E-2</v>
      </c>
      <c r="BH259" s="179">
        <f t="shared" si="225"/>
        <v>3.7854291985577285E-2</v>
      </c>
    </row>
    <row r="260" spans="2:68" s="87" customFormat="1" x14ac:dyDescent="0.25">
      <c r="B260" s="84"/>
      <c r="C260" s="85"/>
      <c r="D260" s="85"/>
      <c r="E260" s="109" t="s">
        <v>45</v>
      </c>
      <c r="F260" s="110" t="s">
        <v>62</v>
      </c>
      <c r="G260" s="195" t="s">
        <v>7</v>
      </c>
      <c r="H260" s="69">
        <v>92225</v>
      </c>
      <c r="I260" s="69">
        <v>92532</v>
      </c>
      <c r="J260" s="69">
        <v>97590</v>
      </c>
      <c r="K260" s="69">
        <v>102593</v>
      </c>
      <c r="L260" s="69">
        <v>108999</v>
      </c>
      <c r="M260" s="69">
        <v>117409</v>
      </c>
      <c r="N260" s="69">
        <v>126544</v>
      </c>
      <c r="O260" s="69">
        <v>137047</v>
      </c>
      <c r="P260" s="69">
        <v>145516</v>
      </c>
      <c r="Q260" s="108"/>
      <c r="R260" s="195" t="s">
        <v>7</v>
      </c>
      <c r="S260" s="226">
        <v>1.5</v>
      </c>
      <c r="T260" s="226">
        <v>1.6</v>
      </c>
      <c r="U260" s="226">
        <v>1.5</v>
      </c>
      <c r="V260" s="226">
        <v>1.4</v>
      </c>
      <c r="W260" s="226">
        <v>1.4</v>
      </c>
      <c r="X260" s="226">
        <v>1.5</v>
      </c>
      <c r="Y260" s="226">
        <v>1.3</v>
      </c>
      <c r="Z260" s="226">
        <v>1.7</v>
      </c>
      <c r="AA260" s="226">
        <v>1.6</v>
      </c>
      <c r="AC260" s="195" t="s">
        <v>7</v>
      </c>
      <c r="AD260" s="69">
        <f t="shared" si="227"/>
        <v>2766.75</v>
      </c>
      <c r="AE260" s="69">
        <f t="shared" si="223"/>
        <v>2961.0240000000003</v>
      </c>
      <c r="AF260" s="69">
        <f t="shared" si="223"/>
        <v>2927.7</v>
      </c>
      <c r="AG260" s="69">
        <f t="shared" si="223"/>
        <v>2872.6039999999998</v>
      </c>
      <c r="AH260" s="69">
        <f t="shared" si="223"/>
        <v>3051.9719999999998</v>
      </c>
      <c r="AI260" s="69">
        <f t="shared" si="223"/>
        <v>3522.27</v>
      </c>
      <c r="AJ260" s="69">
        <f t="shared" si="223"/>
        <v>3290.1440000000002</v>
      </c>
      <c r="AK260" s="69">
        <f t="shared" si="223"/>
        <v>4659.598</v>
      </c>
      <c r="AL260" s="69">
        <f t="shared" si="223"/>
        <v>4656.5119999999997</v>
      </c>
      <c r="AN260" s="195" t="s">
        <v>7</v>
      </c>
      <c r="AO260" s="98">
        <f t="shared" ref="AO260:AW260" si="246">H260/H260</f>
        <v>1</v>
      </c>
      <c r="AP260" s="98">
        <f t="shared" si="246"/>
        <v>1</v>
      </c>
      <c r="AQ260" s="98">
        <f t="shared" si="246"/>
        <v>1</v>
      </c>
      <c r="AR260" s="98">
        <f t="shared" si="246"/>
        <v>1</v>
      </c>
      <c r="AS260" s="98">
        <f t="shared" si="246"/>
        <v>1</v>
      </c>
      <c r="AT260" s="98">
        <f t="shared" si="246"/>
        <v>1</v>
      </c>
      <c r="AU260" s="98">
        <f t="shared" si="246"/>
        <v>1</v>
      </c>
      <c r="AV260" s="98">
        <f t="shared" si="246"/>
        <v>1</v>
      </c>
      <c r="AW260" s="98">
        <f t="shared" si="246"/>
        <v>1</v>
      </c>
      <c r="AX260" s="191"/>
      <c r="AY260" s="195" t="s">
        <v>7</v>
      </c>
      <c r="AZ260" s="178">
        <f t="shared" si="225"/>
        <v>0.03</v>
      </c>
      <c r="BA260" s="178">
        <f t="shared" si="225"/>
        <v>3.2000000000000001E-2</v>
      </c>
      <c r="BB260" s="178">
        <f t="shared" si="225"/>
        <v>0.03</v>
      </c>
      <c r="BC260" s="178">
        <f t="shared" si="225"/>
        <v>2.7999999999999997E-2</v>
      </c>
      <c r="BD260" s="178">
        <f t="shared" si="225"/>
        <v>2.7999999999999997E-2</v>
      </c>
      <c r="BE260" s="178">
        <f t="shared" si="225"/>
        <v>0.03</v>
      </c>
      <c r="BF260" s="178">
        <f t="shared" si="225"/>
        <v>2.6000000000000002E-2</v>
      </c>
      <c r="BG260" s="178">
        <f t="shared" si="225"/>
        <v>3.4000000000000002E-2</v>
      </c>
      <c r="BH260" s="178">
        <f t="shared" si="225"/>
        <v>3.2000000000000001E-2</v>
      </c>
      <c r="BI260" s="191"/>
      <c r="BJ260" s="191"/>
      <c r="BK260" s="191"/>
      <c r="BL260" s="191"/>
      <c r="BM260" s="191"/>
      <c r="BN260" s="191"/>
      <c r="BO260" s="191"/>
      <c r="BP260" s="191"/>
    </row>
    <row r="261" spans="2:68" s="108" customFormat="1" x14ac:dyDescent="0.25">
      <c r="B261" s="107"/>
      <c r="E261" s="109" t="s">
        <v>45</v>
      </c>
      <c r="F261" s="110" t="s">
        <v>62</v>
      </c>
      <c r="G261" s="111" t="s">
        <v>54</v>
      </c>
      <c r="H261" s="112">
        <v>11361</v>
      </c>
      <c r="I261" s="112">
        <v>9973</v>
      </c>
      <c r="J261" s="112">
        <v>9414</v>
      </c>
      <c r="K261" s="112">
        <v>10549</v>
      </c>
      <c r="L261" s="112">
        <v>11057</v>
      </c>
      <c r="M261" s="112">
        <v>13029</v>
      </c>
      <c r="N261" s="112">
        <v>14098</v>
      </c>
      <c r="O261" s="112">
        <v>14053</v>
      </c>
      <c r="P261" s="112">
        <v>13404</v>
      </c>
      <c r="R261" s="111" t="s">
        <v>54</v>
      </c>
      <c r="S261" s="220">
        <v>12.5</v>
      </c>
      <c r="T261" s="220">
        <v>15.6</v>
      </c>
      <c r="U261" s="220">
        <v>15</v>
      </c>
      <c r="V261" s="220">
        <v>13.2</v>
      </c>
      <c r="W261" s="220">
        <v>14.4</v>
      </c>
      <c r="X261" s="220">
        <v>14.2</v>
      </c>
      <c r="Y261" s="220">
        <v>13</v>
      </c>
      <c r="Z261" s="220">
        <v>15.3</v>
      </c>
      <c r="AA261" s="220">
        <v>15.5</v>
      </c>
      <c r="AC261" s="111" t="s">
        <v>54</v>
      </c>
      <c r="AD261" s="112">
        <f t="shared" si="227"/>
        <v>2840.25</v>
      </c>
      <c r="AE261" s="112">
        <f t="shared" si="223"/>
        <v>3111.5759999999996</v>
      </c>
      <c r="AF261" s="112">
        <f t="shared" si="223"/>
        <v>2824.2</v>
      </c>
      <c r="AG261" s="112">
        <f t="shared" si="223"/>
        <v>2784.9359999999997</v>
      </c>
      <c r="AH261" s="112">
        <f t="shared" si="223"/>
        <v>3184.4160000000002</v>
      </c>
      <c r="AI261" s="112">
        <f t="shared" si="223"/>
        <v>3700.2359999999999</v>
      </c>
      <c r="AJ261" s="112">
        <f t="shared" si="223"/>
        <v>3665.48</v>
      </c>
      <c r="AK261" s="112">
        <f t="shared" si="223"/>
        <v>4300.2180000000008</v>
      </c>
      <c r="AL261" s="112">
        <f t="shared" si="223"/>
        <v>4155.24</v>
      </c>
      <c r="AN261" s="111" t="s">
        <v>54</v>
      </c>
      <c r="AO261" s="113">
        <f t="shared" ref="AO261:AW261" si="247">H261/H260</f>
        <v>0.12318785578747628</v>
      </c>
      <c r="AP261" s="113">
        <f t="shared" si="247"/>
        <v>0.10777893053214023</v>
      </c>
      <c r="AQ261" s="113">
        <f t="shared" si="247"/>
        <v>9.6464801721487858E-2</v>
      </c>
      <c r="AR261" s="113">
        <f t="shared" si="247"/>
        <v>0.10282377940015401</v>
      </c>
      <c r="AS261" s="113">
        <f t="shared" si="247"/>
        <v>0.10144129762658373</v>
      </c>
      <c r="AT261" s="113">
        <f t="shared" si="247"/>
        <v>0.11097104991951214</v>
      </c>
      <c r="AU261" s="113">
        <f t="shared" si="247"/>
        <v>0.11140788974585915</v>
      </c>
      <c r="AV261" s="113">
        <f t="shared" si="247"/>
        <v>0.10254146387735594</v>
      </c>
      <c r="AW261" s="113">
        <f t="shared" si="247"/>
        <v>9.2113582011600095E-2</v>
      </c>
      <c r="AY261" s="111" t="s">
        <v>54</v>
      </c>
      <c r="AZ261" s="179">
        <f t="shared" si="225"/>
        <v>3.0796963946869069E-2</v>
      </c>
      <c r="BA261" s="179">
        <f t="shared" si="225"/>
        <v>3.3627026326027751E-2</v>
      </c>
      <c r="BB261" s="179">
        <f t="shared" si="225"/>
        <v>2.8939440516446355E-2</v>
      </c>
      <c r="BC261" s="179">
        <f t="shared" si="225"/>
        <v>2.7145477761640658E-2</v>
      </c>
      <c r="BD261" s="179">
        <f t="shared" si="225"/>
        <v>2.9215093716456114E-2</v>
      </c>
      <c r="BE261" s="179">
        <f t="shared" si="225"/>
        <v>3.1515778177141442E-2</v>
      </c>
      <c r="BF261" s="179">
        <f t="shared" si="225"/>
        <v>2.8966051333923378E-2</v>
      </c>
      <c r="BG261" s="179">
        <f t="shared" si="225"/>
        <v>3.1377687946470917E-2</v>
      </c>
      <c r="BH261" s="179">
        <f t="shared" si="225"/>
        <v>2.8555210423596031E-2</v>
      </c>
    </row>
    <row r="262" spans="2:68" s="108" customFormat="1" x14ac:dyDescent="0.25">
      <c r="B262" s="107"/>
      <c r="E262" s="109" t="s">
        <v>45</v>
      </c>
      <c r="F262" s="110" t="s">
        <v>62</v>
      </c>
      <c r="G262" s="111" t="s">
        <v>55</v>
      </c>
      <c r="H262" s="70">
        <v>42596</v>
      </c>
      <c r="I262" s="70">
        <v>40169</v>
      </c>
      <c r="J262" s="70">
        <v>42731</v>
      </c>
      <c r="K262" s="70">
        <v>45132</v>
      </c>
      <c r="L262" s="70">
        <v>52016</v>
      </c>
      <c r="M262" s="70">
        <v>60069</v>
      </c>
      <c r="N262" s="70">
        <v>59785</v>
      </c>
      <c r="O262" s="112">
        <v>64387</v>
      </c>
      <c r="P262" s="112">
        <v>66039</v>
      </c>
      <c r="R262" s="111" t="s">
        <v>55</v>
      </c>
      <c r="S262" s="81">
        <v>5.7</v>
      </c>
      <c r="T262" s="81">
        <v>6</v>
      </c>
      <c r="U262" s="81">
        <v>5.8</v>
      </c>
      <c r="V262" s="81">
        <v>5.0999999999999996</v>
      </c>
      <c r="W262" s="81">
        <v>5.5</v>
      </c>
      <c r="X262" s="81">
        <v>4.7</v>
      </c>
      <c r="Y262" s="81">
        <v>5.3</v>
      </c>
      <c r="Z262" s="81">
        <v>6</v>
      </c>
      <c r="AA262" s="81">
        <v>5.5</v>
      </c>
      <c r="AC262" s="111" t="s">
        <v>55</v>
      </c>
      <c r="AD262" s="70">
        <f t="shared" si="227"/>
        <v>4855.9440000000004</v>
      </c>
      <c r="AE262" s="70">
        <f t="shared" si="223"/>
        <v>4820.28</v>
      </c>
      <c r="AF262" s="70">
        <f t="shared" si="223"/>
        <v>4956.7959999999994</v>
      </c>
      <c r="AG262" s="70">
        <f t="shared" si="223"/>
        <v>4603.4639999999999</v>
      </c>
      <c r="AH262" s="70">
        <f t="shared" si="223"/>
        <v>5721.76</v>
      </c>
      <c r="AI262" s="70">
        <f t="shared" si="223"/>
        <v>5646.4859999999999</v>
      </c>
      <c r="AJ262" s="70">
        <f t="shared" si="223"/>
        <v>6337.21</v>
      </c>
      <c r="AK262" s="70">
        <f t="shared" si="223"/>
        <v>7726.44</v>
      </c>
      <c r="AL262" s="70">
        <f t="shared" si="223"/>
        <v>7264.29</v>
      </c>
      <c r="AN262" s="111" t="s">
        <v>55</v>
      </c>
      <c r="AO262" s="113">
        <f t="shared" ref="AO262:AW262" si="248">H262/H260</f>
        <v>0.46187042558959068</v>
      </c>
      <c r="AP262" s="113">
        <f t="shared" si="248"/>
        <v>0.43410928111356073</v>
      </c>
      <c r="AQ262" s="113">
        <f t="shared" si="248"/>
        <v>0.43786248591044163</v>
      </c>
      <c r="AR262" s="113">
        <f t="shared" si="248"/>
        <v>0.43991305449689549</v>
      </c>
      <c r="AS262" s="113">
        <f t="shared" si="248"/>
        <v>0.47721538729713114</v>
      </c>
      <c r="AT262" s="113">
        <f t="shared" si="248"/>
        <v>0.51162176664480574</v>
      </c>
      <c r="AU262" s="113">
        <f t="shared" si="248"/>
        <v>0.47244436717663424</v>
      </c>
      <c r="AV262" s="113">
        <f t="shared" si="248"/>
        <v>0.46981692412092202</v>
      </c>
      <c r="AW262" s="113">
        <f t="shared" si="248"/>
        <v>0.45382638335303332</v>
      </c>
      <c r="AY262" s="111" t="s">
        <v>55</v>
      </c>
      <c r="AZ262" s="179">
        <f t="shared" si="225"/>
        <v>5.2653228517213338E-2</v>
      </c>
      <c r="BA262" s="179">
        <f t="shared" si="225"/>
        <v>5.2093113733627287E-2</v>
      </c>
      <c r="BB262" s="179">
        <f t="shared" si="225"/>
        <v>5.0792048365611221E-2</v>
      </c>
      <c r="BC262" s="179">
        <f t="shared" si="225"/>
        <v>4.4871131558683344E-2</v>
      </c>
      <c r="BD262" s="179">
        <f t="shared" si="225"/>
        <v>5.2493692602684432E-2</v>
      </c>
      <c r="BE262" s="179">
        <f t="shared" si="225"/>
        <v>4.8092446064611744E-2</v>
      </c>
      <c r="BF262" s="179">
        <f t="shared" si="225"/>
        <v>5.0079102920723227E-2</v>
      </c>
      <c r="BG262" s="179">
        <f t="shared" si="225"/>
        <v>5.6378030894510642E-2</v>
      </c>
      <c r="BH262" s="179">
        <f t="shared" si="225"/>
        <v>4.9920902168833665E-2</v>
      </c>
    </row>
    <row r="263" spans="2:68" s="108" customFormat="1" x14ac:dyDescent="0.25">
      <c r="B263" s="107"/>
      <c r="E263" s="109" t="s">
        <v>45</v>
      </c>
      <c r="F263" s="110" t="s">
        <v>62</v>
      </c>
      <c r="G263" s="111" t="s">
        <v>130</v>
      </c>
      <c r="H263" s="70">
        <v>6578</v>
      </c>
      <c r="I263" s="70">
        <v>8129</v>
      </c>
      <c r="J263" s="70">
        <v>11437</v>
      </c>
      <c r="K263" s="70">
        <v>9794</v>
      </c>
      <c r="L263" s="70">
        <v>11672</v>
      </c>
      <c r="M263" s="70">
        <v>11074</v>
      </c>
      <c r="N263" s="70">
        <v>15445</v>
      </c>
      <c r="O263" s="112">
        <v>12708</v>
      </c>
      <c r="P263" s="112">
        <v>16063</v>
      </c>
      <c r="R263" s="111" t="s">
        <v>130</v>
      </c>
      <c r="S263" s="220">
        <v>17.399999999999999</v>
      </c>
      <c r="T263" s="220">
        <v>17.3</v>
      </c>
      <c r="U263" s="220">
        <v>13.5</v>
      </c>
      <c r="V263" s="220">
        <v>13.9</v>
      </c>
      <c r="W263" s="220">
        <v>14.4</v>
      </c>
      <c r="X263" s="220">
        <v>15.8</v>
      </c>
      <c r="Y263" s="220">
        <v>12.5</v>
      </c>
      <c r="Z263" s="220">
        <v>16.899999999999999</v>
      </c>
      <c r="AA263" s="220">
        <v>13.6</v>
      </c>
      <c r="AC263" s="111" t="s">
        <v>130</v>
      </c>
      <c r="AD263" s="70">
        <f t="shared" si="227"/>
        <v>2289.1439999999998</v>
      </c>
      <c r="AE263" s="70">
        <f t="shared" si="223"/>
        <v>2812.634</v>
      </c>
      <c r="AF263" s="70">
        <f t="shared" si="223"/>
        <v>3087.99</v>
      </c>
      <c r="AG263" s="70">
        <f t="shared" si="223"/>
        <v>2722.732</v>
      </c>
      <c r="AH263" s="70">
        <f t="shared" si="223"/>
        <v>3361.5360000000005</v>
      </c>
      <c r="AI263" s="70">
        <f t="shared" si="223"/>
        <v>3499.384</v>
      </c>
      <c r="AJ263" s="70">
        <f t="shared" si="223"/>
        <v>3861.25</v>
      </c>
      <c r="AK263" s="70">
        <f t="shared" si="223"/>
        <v>4295.3040000000001</v>
      </c>
      <c r="AL263" s="70">
        <f t="shared" si="223"/>
        <v>4369.1359999999995</v>
      </c>
      <c r="AN263" s="111" t="s">
        <v>130</v>
      </c>
      <c r="AO263" s="113">
        <f t="shared" ref="AO263:AW263" si="249">H263/H260</f>
        <v>7.1325562483057742E-2</v>
      </c>
      <c r="AP263" s="113">
        <f t="shared" si="249"/>
        <v>8.7850689491203046E-2</v>
      </c>
      <c r="AQ263" s="113">
        <f t="shared" si="249"/>
        <v>0.11719438467056051</v>
      </c>
      <c r="AR263" s="113">
        <f t="shared" si="249"/>
        <v>9.5464602848147534E-2</v>
      </c>
      <c r="AS263" s="113">
        <f t="shared" si="249"/>
        <v>0.1070835512252406</v>
      </c>
      <c r="AT263" s="113">
        <f t="shared" si="249"/>
        <v>9.4319856229079541E-2</v>
      </c>
      <c r="AU263" s="113">
        <f t="shared" si="249"/>
        <v>0.12205240864837527</v>
      </c>
      <c r="AV263" s="113">
        <f t="shared" si="249"/>
        <v>9.272731252781892E-2</v>
      </c>
      <c r="AW263" s="113">
        <f t="shared" si="249"/>
        <v>0.11038648670936529</v>
      </c>
      <c r="AY263" s="111" t="s">
        <v>130</v>
      </c>
      <c r="AZ263" s="179">
        <f t="shared" si="225"/>
        <v>2.4821295744104091E-2</v>
      </c>
      <c r="BA263" s="179">
        <f t="shared" si="225"/>
        <v>3.0396338563956252E-2</v>
      </c>
      <c r="BB263" s="179">
        <f t="shared" si="225"/>
        <v>3.164248386105134E-2</v>
      </c>
      <c r="BC263" s="179">
        <f t="shared" si="225"/>
        <v>2.6539159591785016E-2</v>
      </c>
      <c r="BD263" s="179">
        <f t="shared" si="225"/>
        <v>3.0840062752869293E-2</v>
      </c>
      <c r="BE263" s="179">
        <f t="shared" si="225"/>
        <v>2.9805074568389135E-2</v>
      </c>
      <c r="BF263" s="179">
        <f t="shared" si="225"/>
        <v>3.0513102162093818E-2</v>
      </c>
      <c r="BG263" s="179">
        <f t="shared" si="225"/>
        <v>3.1341831634402795E-2</v>
      </c>
      <c r="BH263" s="179">
        <f t="shared" si="225"/>
        <v>3.0025124384947359E-2</v>
      </c>
    </row>
    <row r="264" spans="2:68" s="108" customFormat="1" x14ac:dyDescent="0.25">
      <c r="B264" s="107"/>
      <c r="E264" s="109" t="s">
        <v>45</v>
      </c>
      <c r="F264" s="110" t="s">
        <v>62</v>
      </c>
      <c r="G264" s="111" t="s">
        <v>131</v>
      </c>
      <c r="H264" s="112">
        <v>31690</v>
      </c>
      <c r="I264" s="112">
        <v>33848</v>
      </c>
      <c r="J264" s="112">
        <v>33864</v>
      </c>
      <c r="K264" s="112">
        <v>36931</v>
      </c>
      <c r="L264" s="112">
        <v>34254</v>
      </c>
      <c r="M264" s="112">
        <v>33237</v>
      </c>
      <c r="N264" s="112">
        <v>37216</v>
      </c>
      <c r="O264" s="112">
        <v>45899</v>
      </c>
      <c r="P264" s="112">
        <v>50010</v>
      </c>
      <c r="R264" s="111" t="s">
        <v>131</v>
      </c>
      <c r="S264" s="220">
        <v>6.7</v>
      </c>
      <c r="T264" s="220">
        <v>7.3</v>
      </c>
      <c r="U264" s="220">
        <v>7.2</v>
      </c>
      <c r="V264" s="220">
        <v>6</v>
      </c>
      <c r="W264" s="220">
        <v>7.7</v>
      </c>
      <c r="X264" s="220">
        <v>7.9</v>
      </c>
      <c r="Y264" s="220">
        <v>7</v>
      </c>
      <c r="Z264" s="220">
        <v>7.5</v>
      </c>
      <c r="AA264" s="220">
        <v>6.8</v>
      </c>
      <c r="AC264" s="111" t="s">
        <v>131</v>
      </c>
      <c r="AD264" s="112">
        <f t="shared" si="227"/>
        <v>4246.46</v>
      </c>
      <c r="AE264" s="112">
        <f t="shared" si="223"/>
        <v>4941.808</v>
      </c>
      <c r="AF264" s="112">
        <f t="shared" si="223"/>
        <v>4876.4160000000002</v>
      </c>
      <c r="AG264" s="112">
        <f t="shared" si="223"/>
        <v>4431.72</v>
      </c>
      <c r="AH264" s="112">
        <f t="shared" si="223"/>
        <v>5275.116</v>
      </c>
      <c r="AI264" s="112">
        <f t="shared" si="223"/>
        <v>5251.4459999999999</v>
      </c>
      <c r="AJ264" s="112">
        <f t="shared" si="223"/>
        <v>5210.24</v>
      </c>
      <c r="AK264" s="112">
        <f t="shared" si="223"/>
        <v>6884.85</v>
      </c>
      <c r="AL264" s="112">
        <f t="shared" si="223"/>
        <v>6801.36</v>
      </c>
      <c r="AN264" s="111" t="s">
        <v>131</v>
      </c>
      <c r="AO264" s="113">
        <f t="shared" ref="AO264:AW264" si="250">H264/H260</f>
        <v>0.34361615613987528</v>
      </c>
      <c r="AP264" s="113">
        <f t="shared" si="250"/>
        <v>0.36579777806596636</v>
      </c>
      <c r="AQ264" s="113">
        <f t="shared" si="250"/>
        <v>0.3470027666769136</v>
      </c>
      <c r="AR264" s="113">
        <f t="shared" si="250"/>
        <v>0.35997582681079604</v>
      </c>
      <c r="AS264" s="113">
        <f t="shared" si="250"/>
        <v>0.31425976385104448</v>
      </c>
      <c r="AT264" s="113">
        <f t="shared" si="250"/>
        <v>0.28308732720660257</v>
      </c>
      <c r="AU264" s="113">
        <f t="shared" si="250"/>
        <v>0.29409533442913138</v>
      </c>
      <c r="AV264" s="113">
        <f t="shared" si="250"/>
        <v>0.33491429947390311</v>
      </c>
      <c r="AW264" s="113">
        <f t="shared" si="250"/>
        <v>0.34367354792600124</v>
      </c>
      <c r="AY264" s="111" t="s">
        <v>131</v>
      </c>
      <c r="AZ264" s="179">
        <f t="shared" si="225"/>
        <v>4.6044564922743288E-2</v>
      </c>
      <c r="BA264" s="179">
        <f t="shared" si="225"/>
        <v>5.3406475597631085E-2</v>
      </c>
      <c r="BB264" s="179">
        <f t="shared" si="225"/>
        <v>4.9968398401475558E-2</v>
      </c>
      <c r="BC264" s="179">
        <f t="shared" si="225"/>
        <v>4.3197099217295525E-2</v>
      </c>
      <c r="BD264" s="179">
        <f t="shared" si="225"/>
        <v>4.8396003633060854E-2</v>
      </c>
      <c r="BE264" s="179">
        <f t="shared" si="225"/>
        <v>4.4727797698643205E-2</v>
      </c>
      <c r="BF264" s="179">
        <f t="shared" si="225"/>
        <v>4.1173346820078394E-2</v>
      </c>
      <c r="BG264" s="179">
        <f t="shared" si="225"/>
        <v>5.0237144921085469E-2</v>
      </c>
      <c r="BH264" s="179">
        <f t="shared" si="225"/>
        <v>4.6739602517936171E-2</v>
      </c>
    </row>
    <row r="265" spans="2:68" s="87" customFormat="1" x14ac:dyDescent="0.25">
      <c r="B265" s="84"/>
      <c r="C265" s="85"/>
      <c r="D265" s="85"/>
      <c r="E265" s="109" t="s">
        <v>46</v>
      </c>
      <c r="F265" s="110" t="s">
        <v>62</v>
      </c>
      <c r="G265" s="195" t="s">
        <v>7</v>
      </c>
      <c r="H265" s="69">
        <v>634263</v>
      </c>
      <c r="I265" s="69">
        <v>638566</v>
      </c>
      <c r="J265" s="69">
        <v>638230</v>
      </c>
      <c r="K265" s="69">
        <v>641781</v>
      </c>
      <c r="L265" s="69">
        <v>643961</v>
      </c>
      <c r="M265" s="69">
        <v>643801</v>
      </c>
      <c r="N265" s="69">
        <v>643834</v>
      </c>
      <c r="O265" s="69">
        <v>642984</v>
      </c>
      <c r="P265" s="69">
        <v>644748</v>
      </c>
      <c r="Q265" s="108"/>
      <c r="R265" s="195" t="s">
        <v>7</v>
      </c>
      <c r="S265" s="226">
        <v>0.6</v>
      </c>
      <c r="T265" s="226">
        <v>0.7</v>
      </c>
      <c r="U265" s="226">
        <v>0.7</v>
      </c>
      <c r="V265" s="226">
        <v>0.6</v>
      </c>
      <c r="W265" s="226">
        <v>0.7</v>
      </c>
      <c r="X265" s="226">
        <v>0.8</v>
      </c>
      <c r="Y265" s="226">
        <v>0.7</v>
      </c>
      <c r="Z265" s="226">
        <v>0.9</v>
      </c>
      <c r="AA265" s="226">
        <v>0.8</v>
      </c>
      <c r="AC265" s="195" t="s">
        <v>7</v>
      </c>
      <c r="AD265" s="69">
        <f t="shared" si="227"/>
        <v>7611.1559999999999</v>
      </c>
      <c r="AE265" s="69">
        <f t="shared" si="223"/>
        <v>8939.9239999999991</v>
      </c>
      <c r="AF265" s="69">
        <f t="shared" si="223"/>
        <v>8935.2199999999993</v>
      </c>
      <c r="AG265" s="69">
        <f t="shared" si="223"/>
        <v>7701.3719999999994</v>
      </c>
      <c r="AH265" s="69">
        <f t="shared" si="223"/>
        <v>9015.4539999999997</v>
      </c>
      <c r="AI265" s="69">
        <f t="shared" si="223"/>
        <v>10300.816000000001</v>
      </c>
      <c r="AJ265" s="69">
        <f t="shared" si="223"/>
        <v>9013.6759999999995</v>
      </c>
      <c r="AK265" s="69">
        <f t="shared" si="223"/>
        <v>11573.712</v>
      </c>
      <c r="AL265" s="69">
        <f t="shared" si="223"/>
        <v>10315.968000000001</v>
      </c>
      <c r="AN265" s="195" t="s">
        <v>7</v>
      </c>
      <c r="AO265" s="98">
        <f t="shared" ref="AO265:AW265" si="251">H265/H265</f>
        <v>1</v>
      </c>
      <c r="AP265" s="98">
        <f t="shared" si="251"/>
        <v>1</v>
      </c>
      <c r="AQ265" s="98">
        <f t="shared" si="251"/>
        <v>1</v>
      </c>
      <c r="AR265" s="98">
        <f t="shared" si="251"/>
        <v>1</v>
      </c>
      <c r="AS265" s="98">
        <f t="shared" si="251"/>
        <v>1</v>
      </c>
      <c r="AT265" s="98">
        <f t="shared" si="251"/>
        <v>1</v>
      </c>
      <c r="AU265" s="98">
        <f t="shared" si="251"/>
        <v>1</v>
      </c>
      <c r="AV265" s="98">
        <f t="shared" si="251"/>
        <v>1</v>
      </c>
      <c r="AW265" s="98">
        <f t="shared" si="251"/>
        <v>1</v>
      </c>
      <c r="AX265" s="191"/>
      <c r="AY265" s="195" t="s">
        <v>7</v>
      </c>
      <c r="AZ265" s="178">
        <f t="shared" si="225"/>
        <v>1.2E-2</v>
      </c>
      <c r="BA265" s="178">
        <f t="shared" si="225"/>
        <v>1.3999999999999999E-2</v>
      </c>
      <c r="BB265" s="178">
        <f t="shared" si="225"/>
        <v>1.3999999999999999E-2</v>
      </c>
      <c r="BC265" s="178">
        <f t="shared" si="225"/>
        <v>1.2E-2</v>
      </c>
      <c r="BD265" s="178">
        <f t="shared" si="225"/>
        <v>1.3999999999999999E-2</v>
      </c>
      <c r="BE265" s="178">
        <f t="shared" si="225"/>
        <v>1.6E-2</v>
      </c>
      <c r="BF265" s="178">
        <f t="shared" si="225"/>
        <v>1.3999999999999999E-2</v>
      </c>
      <c r="BG265" s="178">
        <f t="shared" si="225"/>
        <v>1.8000000000000002E-2</v>
      </c>
      <c r="BH265" s="178">
        <f t="shared" si="225"/>
        <v>1.6E-2</v>
      </c>
      <c r="BI265" s="191"/>
      <c r="BJ265" s="191"/>
      <c r="BK265" s="191"/>
      <c r="BL265" s="191"/>
      <c r="BM265" s="191"/>
      <c r="BN265" s="191"/>
      <c r="BO265" s="191"/>
      <c r="BP265" s="191"/>
    </row>
    <row r="266" spans="2:68" s="108" customFormat="1" x14ac:dyDescent="0.25">
      <c r="B266" s="107"/>
      <c r="E266" s="109" t="s">
        <v>46</v>
      </c>
      <c r="F266" s="110" t="s">
        <v>62</v>
      </c>
      <c r="G266" s="111" t="s">
        <v>54</v>
      </c>
      <c r="H266" s="112">
        <v>167436</v>
      </c>
      <c r="I266" s="112">
        <v>161495</v>
      </c>
      <c r="J266" s="112">
        <v>143543</v>
      </c>
      <c r="K266" s="112">
        <v>149668</v>
      </c>
      <c r="L266" s="112">
        <v>142276</v>
      </c>
      <c r="M266" s="112">
        <v>145670</v>
      </c>
      <c r="N266" s="112">
        <v>136481</v>
      </c>
      <c r="O266" s="112">
        <v>117217</v>
      </c>
      <c r="P266" s="112">
        <v>92813</v>
      </c>
      <c r="R266" s="111" t="s">
        <v>54</v>
      </c>
      <c r="S266" s="220">
        <v>3.1</v>
      </c>
      <c r="T266" s="220">
        <v>2.8</v>
      </c>
      <c r="U266" s="220">
        <v>3.8</v>
      </c>
      <c r="V266" s="220">
        <v>3.5</v>
      </c>
      <c r="W266" s="220">
        <v>3.5</v>
      </c>
      <c r="X266" s="220">
        <v>3.8</v>
      </c>
      <c r="Y266" s="220">
        <v>3.6</v>
      </c>
      <c r="Z266" s="220">
        <v>5.5</v>
      </c>
      <c r="AA266" s="220">
        <v>5.7</v>
      </c>
      <c r="AC266" s="111" t="s">
        <v>54</v>
      </c>
      <c r="AD266" s="112">
        <f t="shared" si="227"/>
        <v>10381.032000000001</v>
      </c>
      <c r="AE266" s="112">
        <f t="shared" si="223"/>
        <v>9043.7199999999993</v>
      </c>
      <c r="AF266" s="112">
        <f t="shared" si="223"/>
        <v>10909.268</v>
      </c>
      <c r="AG266" s="112">
        <f t="shared" si="223"/>
        <v>10476.76</v>
      </c>
      <c r="AH266" s="112">
        <f t="shared" si="223"/>
        <v>9959.32</v>
      </c>
      <c r="AI266" s="112">
        <f t="shared" si="223"/>
        <v>11070.92</v>
      </c>
      <c r="AJ266" s="112">
        <f t="shared" si="223"/>
        <v>9826.6320000000014</v>
      </c>
      <c r="AK266" s="112">
        <f t="shared" si="223"/>
        <v>12893.87</v>
      </c>
      <c r="AL266" s="112">
        <f t="shared" si="223"/>
        <v>10580.681999999999</v>
      </c>
      <c r="AN266" s="111" t="s">
        <v>54</v>
      </c>
      <c r="AO266" s="113">
        <f t="shared" ref="AO266:AW266" si="252">H266/H265</f>
        <v>0.26398512919719425</v>
      </c>
      <c r="AP266" s="113">
        <f t="shared" si="252"/>
        <v>0.25290259738225962</v>
      </c>
      <c r="AQ266" s="113">
        <f t="shared" si="252"/>
        <v>0.2249079485451953</v>
      </c>
      <c r="AR266" s="113">
        <f t="shared" si="252"/>
        <v>0.2332072778720467</v>
      </c>
      <c r="AS266" s="113">
        <f t="shared" si="252"/>
        <v>0.22093884567543687</v>
      </c>
      <c r="AT266" s="113">
        <f t="shared" si="252"/>
        <v>0.22626556964030811</v>
      </c>
      <c r="AU266" s="113">
        <f t="shared" si="252"/>
        <v>0.21198165986884818</v>
      </c>
      <c r="AV266" s="113">
        <f t="shared" si="252"/>
        <v>0.18230158137683053</v>
      </c>
      <c r="AW266" s="113">
        <f t="shared" si="252"/>
        <v>0.1439523658855863</v>
      </c>
      <c r="AY266" s="111" t="s">
        <v>54</v>
      </c>
      <c r="AZ266" s="179">
        <f t="shared" si="225"/>
        <v>1.6367078010226042E-2</v>
      </c>
      <c r="BA266" s="179">
        <f t="shared" si="225"/>
        <v>1.4162545453406538E-2</v>
      </c>
      <c r="BB266" s="179">
        <f t="shared" si="225"/>
        <v>1.7093004089434843E-2</v>
      </c>
      <c r="BC266" s="179">
        <f t="shared" si="225"/>
        <v>1.632450945104327E-2</v>
      </c>
      <c r="BD266" s="179">
        <f t="shared" si="225"/>
        <v>1.546571919728058E-2</v>
      </c>
      <c r="BE266" s="179">
        <f t="shared" si="225"/>
        <v>1.7196183292663415E-2</v>
      </c>
      <c r="BF266" s="179">
        <f t="shared" si="225"/>
        <v>1.5262679510557068E-2</v>
      </c>
      <c r="BG266" s="179">
        <f t="shared" si="225"/>
        <v>2.0053173951451359E-2</v>
      </c>
      <c r="BH266" s="179">
        <f t="shared" si="225"/>
        <v>1.6410569710956838E-2</v>
      </c>
    </row>
    <row r="267" spans="2:68" s="108" customFormat="1" x14ac:dyDescent="0.25">
      <c r="B267" s="107"/>
      <c r="E267" s="109" t="s">
        <v>46</v>
      </c>
      <c r="F267" s="110" t="s">
        <v>62</v>
      </c>
      <c r="G267" s="111" t="s">
        <v>55</v>
      </c>
      <c r="H267" s="70">
        <v>173958</v>
      </c>
      <c r="I267" s="70">
        <v>177768</v>
      </c>
      <c r="J267" s="70">
        <v>187077</v>
      </c>
      <c r="K267" s="70">
        <v>180149</v>
      </c>
      <c r="L267" s="70">
        <v>176712</v>
      </c>
      <c r="M267" s="70">
        <v>194437</v>
      </c>
      <c r="N267" s="70">
        <v>181776</v>
      </c>
      <c r="O267" s="112">
        <v>194015</v>
      </c>
      <c r="P267" s="112">
        <v>186341</v>
      </c>
      <c r="R267" s="111" t="s">
        <v>55</v>
      </c>
      <c r="S267" s="81">
        <v>3.1</v>
      </c>
      <c r="T267" s="81">
        <v>3.5</v>
      </c>
      <c r="U267" s="81">
        <v>3.3</v>
      </c>
      <c r="V267" s="81">
        <v>3.1</v>
      </c>
      <c r="W267" s="81">
        <v>3.5</v>
      </c>
      <c r="X267" s="81">
        <v>3.8</v>
      </c>
      <c r="Y267" s="81">
        <v>3.7</v>
      </c>
      <c r="Z267" s="81">
        <v>4.4000000000000004</v>
      </c>
      <c r="AA267" s="81">
        <v>4.2</v>
      </c>
      <c r="AC267" s="111" t="s">
        <v>55</v>
      </c>
      <c r="AD267" s="70">
        <f t="shared" si="227"/>
        <v>10785.396000000001</v>
      </c>
      <c r="AE267" s="70">
        <f t="shared" si="223"/>
        <v>12443.76</v>
      </c>
      <c r="AF267" s="70">
        <f t="shared" si="223"/>
        <v>12347.082</v>
      </c>
      <c r="AG267" s="70">
        <f t="shared" si="223"/>
        <v>11169.238000000001</v>
      </c>
      <c r="AH267" s="70">
        <f t="shared" si="223"/>
        <v>12369.84</v>
      </c>
      <c r="AI267" s="70">
        <f t="shared" si="223"/>
        <v>14777.212</v>
      </c>
      <c r="AJ267" s="70">
        <f t="shared" si="223"/>
        <v>13451.424000000001</v>
      </c>
      <c r="AK267" s="70">
        <f t="shared" si="223"/>
        <v>17073.320000000003</v>
      </c>
      <c r="AL267" s="70">
        <f t="shared" si="223"/>
        <v>15652.644000000002</v>
      </c>
      <c r="AN267" s="111" t="s">
        <v>55</v>
      </c>
      <c r="AO267" s="113">
        <f t="shared" ref="AO267:AW267" si="253">H267/H265</f>
        <v>0.27426792986505599</v>
      </c>
      <c r="AP267" s="113">
        <f t="shared" si="253"/>
        <v>0.27838625921204702</v>
      </c>
      <c r="AQ267" s="113">
        <f t="shared" si="253"/>
        <v>0.29311846826379206</v>
      </c>
      <c r="AR267" s="113">
        <f t="shared" si="253"/>
        <v>0.28070167237733745</v>
      </c>
      <c r="AS267" s="113">
        <f t="shared" si="253"/>
        <v>0.27441413377518203</v>
      </c>
      <c r="AT267" s="113">
        <f t="shared" si="253"/>
        <v>0.30201413169597435</v>
      </c>
      <c r="AU267" s="113">
        <f t="shared" si="253"/>
        <v>0.28233364500787472</v>
      </c>
      <c r="AV267" s="113">
        <f t="shared" si="253"/>
        <v>0.30174156744180258</v>
      </c>
      <c r="AW267" s="113">
        <f t="shared" si="253"/>
        <v>0.28901369217120487</v>
      </c>
      <c r="AY267" s="111" t="s">
        <v>55</v>
      </c>
      <c r="AZ267" s="179">
        <f t="shared" si="225"/>
        <v>1.7004611651633472E-2</v>
      </c>
      <c r="BA267" s="179">
        <f t="shared" si="225"/>
        <v>1.9487038144843292E-2</v>
      </c>
      <c r="BB267" s="179">
        <f t="shared" si="225"/>
        <v>1.9345818905410275E-2</v>
      </c>
      <c r="BC267" s="179">
        <f t="shared" si="225"/>
        <v>1.7403503687394923E-2</v>
      </c>
      <c r="BD267" s="179">
        <f t="shared" si="225"/>
        <v>1.9208989364262744E-2</v>
      </c>
      <c r="BE267" s="179">
        <f t="shared" si="225"/>
        <v>2.2953074008894049E-2</v>
      </c>
      <c r="BF267" s="179">
        <f t="shared" si="225"/>
        <v>2.0892689730582732E-2</v>
      </c>
      <c r="BG267" s="179">
        <f t="shared" si="225"/>
        <v>2.655325793487863E-2</v>
      </c>
      <c r="BH267" s="179">
        <f t="shared" si="225"/>
        <v>2.4277150142381208E-2</v>
      </c>
    </row>
    <row r="268" spans="2:68" s="108" customFormat="1" x14ac:dyDescent="0.25">
      <c r="B268" s="107"/>
      <c r="E268" s="109" t="s">
        <v>46</v>
      </c>
      <c r="F268" s="110" t="s">
        <v>62</v>
      </c>
      <c r="G268" s="111" t="s">
        <v>130</v>
      </c>
      <c r="H268" s="70">
        <v>76282</v>
      </c>
      <c r="I268" s="70">
        <v>82115</v>
      </c>
      <c r="J268" s="70">
        <v>77066</v>
      </c>
      <c r="K268" s="70">
        <v>73238</v>
      </c>
      <c r="L268" s="70">
        <v>85277</v>
      </c>
      <c r="M268" s="70">
        <v>82093</v>
      </c>
      <c r="N268" s="70">
        <v>91017</v>
      </c>
      <c r="O268" s="112">
        <v>77468</v>
      </c>
      <c r="P268" s="112">
        <v>82757</v>
      </c>
      <c r="R268" s="111" t="s">
        <v>130</v>
      </c>
      <c r="S268" s="220">
        <v>4.7</v>
      </c>
      <c r="T268" s="220">
        <v>5.0999999999999996</v>
      </c>
      <c r="U268" s="220">
        <v>5</v>
      </c>
      <c r="V268" s="220">
        <v>4.9000000000000004</v>
      </c>
      <c r="W268" s="220">
        <v>5</v>
      </c>
      <c r="X268" s="220">
        <v>5.6</v>
      </c>
      <c r="Y268" s="220">
        <v>5.0999999999999996</v>
      </c>
      <c r="Z268" s="220">
        <v>6.6</v>
      </c>
      <c r="AA268" s="220">
        <v>6.1</v>
      </c>
      <c r="AC268" s="111" t="s">
        <v>130</v>
      </c>
      <c r="AD268" s="70">
        <f t="shared" si="227"/>
        <v>7170.5080000000007</v>
      </c>
      <c r="AE268" s="70">
        <f t="shared" si="223"/>
        <v>8375.73</v>
      </c>
      <c r="AF268" s="70">
        <f t="shared" si="223"/>
        <v>7706.6</v>
      </c>
      <c r="AG268" s="70">
        <f t="shared" si="223"/>
        <v>7177.3240000000005</v>
      </c>
      <c r="AH268" s="70">
        <f t="shared" si="223"/>
        <v>8527.7000000000007</v>
      </c>
      <c r="AI268" s="70">
        <f t="shared" si="223"/>
        <v>9194.4159999999993</v>
      </c>
      <c r="AJ268" s="70">
        <f t="shared" si="223"/>
        <v>9283.7339999999986</v>
      </c>
      <c r="AK268" s="70">
        <f t="shared" si="223"/>
        <v>10225.776</v>
      </c>
      <c r="AL268" s="70">
        <f t="shared" si="223"/>
        <v>10096.353999999999</v>
      </c>
      <c r="AN268" s="111" t="s">
        <v>130</v>
      </c>
      <c r="AO268" s="113">
        <f t="shared" ref="AO268:AW268" si="254">H268/H265</f>
        <v>0.12026872133484059</v>
      </c>
      <c r="AP268" s="113">
        <f t="shared" si="254"/>
        <v>0.12859281577785225</v>
      </c>
      <c r="AQ268" s="113">
        <f t="shared" si="254"/>
        <v>0.12074957303793303</v>
      </c>
      <c r="AR268" s="113">
        <f t="shared" si="254"/>
        <v>0.11411680931657373</v>
      </c>
      <c r="AS268" s="113">
        <f t="shared" si="254"/>
        <v>0.13242572143344084</v>
      </c>
      <c r="AT268" s="113">
        <f t="shared" si="254"/>
        <v>0.12751300479495994</v>
      </c>
      <c r="AU268" s="113">
        <f t="shared" si="254"/>
        <v>0.14136718470910203</v>
      </c>
      <c r="AV268" s="113">
        <f t="shared" si="254"/>
        <v>0.1204820026625857</v>
      </c>
      <c r="AW268" s="113">
        <f t="shared" si="254"/>
        <v>0.12835557458107663</v>
      </c>
      <c r="AY268" s="111" t="s">
        <v>130</v>
      </c>
      <c r="AZ268" s="179">
        <f t="shared" si="225"/>
        <v>1.1305259805475016E-2</v>
      </c>
      <c r="BA268" s="179">
        <f t="shared" si="225"/>
        <v>1.311646720934093E-2</v>
      </c>
      <c r="BB268" s="179">
        <f t="shared" si="225"/>
        <v>1.2074957303793304E-2</v>
      </c>
      <c r="BC268" s="179">
        <f t="shared" ref="BC268:BH279" si="255">2*(V268*AR268/100)</f>
        <v>1.1183447313024225E-2</v>
      </c>
      <c r="BD268" s="179">
        <f t="shared" si="255"/>
        <v>1.3242572143344082E-2</v>
      </c>
      <c r="BE268" s="179">
        <f t="shared" si="255"/>
        <v>1.4281456537035513E-2</v>
      </c>
      <c r="BF268" s="179">
        <f t="shared" si="255"/>
        <v>1.4419452840328407E-2</v>
      </c>
      <c r="BG268" s="179">
        <f t="shared" si="255"/>
        <v>1.5903624351461313E-2</v>
      </c>
      <c r="BH268" s="179">
        <f t="shared" si="255"/>
        <v>1.565938009889135E-2</v>
      </c>
    </row>
    <row r="269" spans="2:68" s="108" customFormat="1" x14ac:dyDescent="0.25">
      <c r="B269" s="107"/>
      <c r="E269" s="109" t="s">
        <v>46</v>
      </c>
      <c r="F269" s="110" t="s">
        <v>62</v>
      </c>
      <c r="G269" s="111" t="s">
        <v>131</v>
      </c>
      <c r="H269" s="112">
        <v>215613</v>
      </c>
      <c r="I269" s="112">
        <v>212986</v>
      </c>
      <c r="J269" s="112">
        <v>229215</v>
      </c>
      <c r="K269" s="112">
        <v>237047</v>
      </c>
      <c r="L269" s="112">
        <v>236596</v>
      </c>
      <c r="M269" s="112">
        <v>220039</v>
      </c>
      <c r="N269" s="112">
        <v>230349</v>
      </c>
      <c r="O269" s="112">
        <v>254284</v>
      </c>
      <c r="P269" s="112">
        <v>282837</v>
      </c>
      <c r="R269" s="111" t="s">
        <v>131</v>
      </c>
      <c r="S269" s="220">
        <v>2.5</v>
      </c>
      <c r="T269" s="220">
        <v>2.8</v>
      </c>
      <c r="U269" s="220">
        <v>2.7</v>
      </c>
      <c r="V269" s="220">
        <v>2.5</v>
      </c>
      <c r="W269" s="220">
        <v>2.9</v>
      </c>
      <c r="X269" s="220">
        <v>2.6</v>
      </c>
      <c r="Y269" s="220">
        <v>2.6</v>
      </c>
      <c r="Z269" s="220">
        <v>4.4000000000000004</v>
      </c>
      <c r="AA269" s="220">
        <v>2.9</v>
      </c>
      <c r="AC269" s="111" t="s">
        <v>131</v>
      </c>
      <c r="AD269" s="112">
        <f t="shared" si="227"/>
        <v>10780.65</v>
      </c>
      <c r="AE269" s="112">
        <f t="shared" si="223"/>
        <v>11927.215999999999</v>
      </c>
      <c r="AF269" s="112">
        <f t="shared" si="223"/>
        <v>12377.61</v>
      </c>
      <c r="AG269" s="112">
        <f t="shared" si="223"/>
        <v>11852.35</v>
      </c>
      <c r="AH269" s="112">
        <f t="shared" si="223"/>
        <v>13722.568000000001</v>
      </c>
      <c r="AI269" s="112">
        <f t="shared" si="223"/>
        <v>11442.028</v>
      </c>
      <c r="AJ269" s="112">
        <f t="shared" si="223"/>
        <v>11978.148000000001</v>
      </c>
      <c r="AK269" s="112">
        <f t="shared" si="223"/>
        <v>22376.992000000002</v>
      </c>
      <c r="AL269" s="112">
        <f t="shared" si="223"/>
        <v>16404.545999999998</v>
      </c>
      <c r="AN269" s="111" t="s">
        <v>131</v>
      </c>
      <c r="AO269" s="113">
        <f t="shared" ref="AO269:AW269" si="256">H269/H265</f>
        <v>0.33994257902478942</v>
      </c>
      <c r="AP269" s="113">
        <f t="shared" si="256"/>
        <v>0.3335379584882377</v>
      </c>
      <c r="AQ269" s="113">
        <f t="shared" si="256"/>
        <v>0.35914168873290192</v>
      </c>
      <c r="AR269" s="113">
        <f t="shared" si="256"/>
        <v>0.36935808320906977</v>
      </c>
      <c r="AS269" s="113">
        <f t="shared" si="256"/>
        <v>0.36740734299126809</v>
      </c>
      <c r="AT269" s="113">
        <f t="shared" si="256"/>
        <v>0.34178107831457238</v>
      </c>
      <c r="AU269" s="113">
        <f t="shared" si="256"/>
        <v>0.35777700463162865</v>
      </c>
      <c r="AV269" s="113">
        <f t="shared" si="256"/>
        <v>0.39547484851878117</v>
      </c>
      <c r="AW269" s="113">
        <f t="shared" si="256"/>
        <v>0.43867836736213217</v>
      </c>
      <c r="AY269" s="111" t="s">
        <v>131</v>
      </c>
      <c r="AZ269" s="179">
        <f t="shared" ref="AZ269:BB279" si="257">2*(S269*AO269/100)</f>
        <v>1.6997128951239469E-2</v>
      </c>
      <c r="BA269" s="179">
        <f t="shared" si="257"/>
        <v>1.8678125675341311E-2</v>
      </c>
      <c r="BB269" s="179">
        <f t="shared" si="257"/>
        <v>1.9393651191576704E-2</v>
      </c>
      <c r="BC269" s="179">
        <f t="shared" si="255"/>
        <v>1.8467904160453488E-2</v>
      </c>
      <c r="BD269" s="179">
        <f t="shared" si="255"/>
        <v>2.1309625893493549E-2</v>
      </c>
      <c r="BE269" s="179">
        <f t="shared" si="255"/>
        <v>1.7772616072357764E-2</v>
      </c>
      <c r="BF269" s="179">
        <f t="shared" si="255"/>
        <v>1.8604404240844689E-2</v>
      </c>
      <c r="BG269" s="179">
        <f t="shared" si="255"/>
        <v>3.4801786669652744E-2</v>
      </c>
      <c r="BH269" s="179">
        <f t="shared" si="255"/>
        <v>2.5443345307003665E-2</v>
      </c>
    </row>
    <row r="270" spans="2:68" s="87" customFormat="1" x14ac:dyDescent="0.25">
      <c r="B270" s="84"/>
      <c r="C270" s="85"/>
      <c r="D270" s="85"/>
      <c r="E270" s="109" t="s">
        <v>4</v>
      </c>
      <c r="F270" s="110" t="s">
        <v>62</v>
      </c>
      <c r="G270" s="195" t="s">
        <v>7</v>
      </c>
      <c r="H270" s="69">
        <v>310591</v>
      </c>
      <c r="I270" s="69">
        <v>312172</v>
      </c>
      <c r="J270" s="69">
        <v>312075</v>
      </c>
      <c r="K270" s="69">
        <v>313457</v>
      </c>
      <c r="L270" s="69">
        <v>313340</v>
      </c>
      <c r="M270" s="69">
        <v>312552</v>
      </c>
      <c r="N270" s="69">
        <v>313834</v>
      </c>
      <c r="O270" s="69">
        <v>314249</v>
      </c>
      <c r="P270" s="69">
        <v>315085</v>
      </c>
      <c r="Q270" s="108"/>
      <c r="R270" s="195" t="s">
        <v>7</v>
      </c>
      <c r="S270" s="226">
        <v>1.8</v>
      </c>
      <c r="T270" s="226">
        <v>0.9</v>
      </c>
      <c r="U270" s="226">
        <v>0.9</v>
      </c>
      <c r="V270" s="226">
        <v>0.7</v>
      </c>
      <c r="W270" s="226">
        <v>0.8</v>
      </c>
      <c r="X270" s="226">
        <v>1</v>
      </c>
      <c r="Y270" s="226">
        <v>0.9</v>
      </c>
      <c r="Z270" s="226">
        <v>1.1000000000000001</v>
      </c>
      <c r="AA270" s="226">
        <v>1</v>
      </c>
      <c r="AC270" s="195" t="s">
        <v>7</v>
      </c>
      <c r="AD270" s="69">
        <f t="shared" si="227"/>
        <v>11181.276000000002</v>
      </c>
      <c r="AE270" s="69">
        <f t="shared" si="223"/>
        <v>5619.0959999999995</v>
      </c>
      <c r="AF270" s="69">
        <f t="shared" si="223"/>
        <v>5617.35</v>
      </c>
      <c r="AG270" s="69">
        <f t="shared" si="223"/>
        <v>4388.3980000000001</v>
      </c>
      <c r="AH270" s="69">
        <f t="shared" si="223"/>
        <v>5013.4399999999996</v>
      </c>
      <c r="AI270" s="69">
        <f t="shared" si="223"/>
        <v>6251.04</v>
      </c>
      <c r="AJ270" s="69">
        <f t="shared" si="223"/>
        <v>5649.0120000000006</v>
      </c>
      <c r="AK270" s="69">
        <f t="shared" si="223"/>
        <v>6913.4780000000001</v>
      </c>
      <c r="AL270" s="69">
        <f t="shared" si="223"/>
        <v>6301.7</v>
      </c>
      <c r="AN270" s="195" t="s">
        <v>7</v>
      </c>
      <c r="AO270" s="98">
        <f t="shared" ref="AO270:AW270" si="258">H270/H270</f>
        <v>1</v>
      </c>
      <c r="AP270" s="98">
        <f t="shared" si="258"/>
        <v>1</v>
      </c>
      <c r="AQ270" s="98">
        <f t="shared" si="258"/>
        <v>1</v>
      </c>
      <c r="AR270" s="98">
        <f t="shared" si="258"/>
        <v>1</v>
      </c>
      <c r="AS270" s="98">
        <f t="shared" si="258"/>
        <v>1</v>
      </c>
      <c r="AT270" s="98">
        <f t="shared" si="258"/>
        <v>1</v>
      </c>
      <c r="AU270" s="98">
        <f t="shared" si="258"/>
        <v>1</v>
      </c>
      <c r="AV270" s="98">
        <f t="shared" si="258"/>
        <v>1</v>
      </c>
      <c r="AW270" s="98">
        <f t="shared" si="258"/>
        <v>1</v>
      </c>
      <c r="AX270" s="191"/>
      <c r="AY270" s="195" t="s">
        <v>7</v>
      </c>
      <c r="AZ270" s="178">
        <f t="shared" si="257"/>
        <v>3.6000000000000004E-2</v>
      </c>
      <c r="BA270" s="178">
        <f t="shared" si="257"/>
        <v>1.8000000000000002E-2</v>
      </c>
      <c r="BB270" s="178">
        <f t="shared" si="257"/>
        <v>1.8000000000000002E-2</v>
      </c>
      <c r="BC270" s="178">
        <f t="shared" si="255"/>
        <v>1.3999999999999999E-2</v>
      </c>
      <c r="BD270" s="178">
        <f t="shared" si="255"/>
        <v>1.6E-2</v>
      </c>
      <c r="BE270" s="178">
        <f t="shared" si="255"/>
        <v>0.02</v>
      </c>
      <c r="BF270" s="178">
        <f t="shared" si="255"/>
        <v>1.8000000000000002E-2</v>
      </c>
      <c r="BG270" s="178">
        <f t="shared" si="255"/>
        <v>2.2000000000000002E-2</v>
      </c>
      <c r="BH270" s="178">
        <f t="shared" si="255"/>
        <v>0.02</v>
      </c>
      <c r="BI270" s="191"/>
      <c r="BJ270" s="191"/>
      <c r="BK270" s="191"/>
      <c r="BL270" s="191"/>
      <c r="BM270" s="191"/>
      <c r="BN270" s="191"/>
      <c r="BO270" s="191"/>
      <c r="BP270" s="191"/>
    </row>
    <row r="271" spans="2:68" s="108" customFormat="1" x14ac:dyDescent="0.25">
      <c r="B271" s="107"/>
      <c r="E271" s="109" t="s">
        <v>4</v>
      </c>
      <c r="F271" s="110" t="s">
        <v>62</v>
      </c>
      <c r="G271" s="111" t="s">
        <v>54</v>
      </c>
      <c r="H271" s="112">
        <v>86947</v>
      </c>
      <c r="I271" s="112">
        <v>81343</v>
      </c>
      <c r="J271" s="112">
        <v>77332</v>
      </c>
      <c r="K271" s="112">
        <v>78689</v>
      </c>
      <c r="L271" s="112">
        <v>76731</v>
      </c>
      <c r="M271" s="112">
        <v>74644</v>
      </c>
      <c r="N271" s="112">
        <v>74347</v>
      </c>
      <c r="O271" s="112">
        <v>58939</v>
      </c>
      <c r="P271" s="112">
        <v>51504</v>
      </c>
      <c r="R271" s="111" t="s">
        <v>54</v>
      </c>
      <c r="S271" s="220">
        <v>4.4000000000000004</v>
      </c>
      <c r="T271" s="220">
        <v>4.8</v>
      </c>
      <c r="U271" s="220">
        <v>4.7</v>
      </c>
      <c r="V271" s="220">
        <v>4.7</v>
      </c>
      <c r="W271" s="220">
        <v>5</v>
      </c>
      <c r="X271" s="220">
        <v>5.6</v>
      </c>
      <c r="Y271" s="220">
        <v>5.3</v>
      </c>
      <c r="Z271" s="220">
        <v>7.9</v>
      </c>
      <c r="AA271" s="220">
        <v>7.9</v>
      </c>
      <c r="AC271" s="111" t="s">
        <v>54</v>
      </c>
      <c r="AD271" s="112">
        <f t="shared" si="227"/>
        <v>7651.3360000000011</v>
      </c>
      <c r="AE271" s="112">
        <f t="shared" si="223"/>
        <v>7808.927999999999</v>
      </c>
      <c r="AF271" s="112">
        <f t="shared" si="223"/>
        <v>7269.2080000000005</v>
      </c>
      <c r="AG271" s="112">
        <f t="shared" si="223"/>
        <v>7396.7659999999996</v>
      </c>
      <c r="AH271" s="112">
        <f t="shared" si="223"/>
        <v>7673.1</v>
      </c>
      <c r="AI271" s="112">
        <f t="shared" si="223"/>
        <v>8360.1279999999988</v>
      </c>
      <c r="AJ271" s="112">
        <f t="shared" si="223"/>
        <v>7880.7819999999992</v>
      </c>
      <c r="AK271" s="112">
        <f t="shared" si="223"/>
        <v>9312.362000000001</v>
      </c>
      <c r="AL271" s="112">
        <f t="shared" si="223"/>
        <v>8137.6320000000005</v>
      </c>
      <c r="AN271" s="111" t="s">
        <v>54</v>
      </c>
      <c r="AO271" s="113">
        <f t="shared" ref="AO271:AW271" si="259">H271/H270</f>
        <v>0.27994050052963543</v>
      </c>
      <c r="AP271" s="113">
        <f t="shared" si="259"/>
        <v>0.26057109542175466</v>
      </c>
      <c r="AQ271" s="113">
        <f t="shared" si="259"/>
        <v>0.24779940719378354</v>
      </c>
      <c r="AR271" s="113">
        <f t="shared" si="259"/>
        <v>0.25103602727008806</v>
      </c>
      <c r="AS271" s="113">
        <f t="shared" si="259"/>
        <v>0.2448809599795749</v>
      </c>
      <c r="AT271" s="113">
        <f t="shared" si="259"/>
        <v>0.23882106017558677</v>
      </c>
      <c r="AU271" s="113">
        <f t="shared" si="259"/>
        <v>0.23689912501513538</v>
      </c>
      <c r="AV271" s="113">
        <f t="shared" si="259"/>
        <v>0.18755509166298062</v>
      </c>
      <c r="AW271" s="113">
        <f t="shared" si="259"/>
        <v>0.16346065347445926</v>
      </c>
      <c r="AY271" s="111" t="s">
        <v>54</v>
      </c>
      <c r="AZ271" s="179">
        <f t="shared" si="257"/>
        <v>2.4634764046607919E-2</v>
      </c>
      <c r="BA271" s="179">
        <f t="shared" si="257"/>
        <v>2.5014825160488446E-2</v>
      </c>
      <c r="BB271" s="179">
        <f t="shared" si="257"/>
        <v>2.3293144276215653E-2</v>
      </c>
      <c r="BC271" s="179">
        <f t="shared" si="255"/>
        <v>2.3597386563388278E-2</v>
      </c>
      <c r="BD271" s="179">
        <f t="shared" si="255"/>
        <v>2.4488095997957489E-2</v>
      </c>
      <c r="BE271" s="179">
        <f t="shared" si="255"/>
        <v>2.6747958739665716E-2</v>
      </c>
      <c r="BF271" s="179">
        <f t="shared" si="255"/>
        <v>2.5111307251604348E-2</v>
      </c>
      <c r="BG271" s="179">
        <f t="shared" si="255"/>
        <v>2.9633704482750937E-2</v>
      </c>
      <c r="BH271" s="179">
        <f t="shared" si="255"/>
        <v>2.5826783248964563E-2</v>
      </c>
    </row>
    <row r="272" spans="2:68" s="108" customFormat="1" x14ac:dyDescent="0.25">
      <c r="B272" s="107"/>
      <c r="E272" s="109" t="s">
        <v>4</v>
      </c>
      <c r="F272" s="110" t="s">
        <v>62</v>
      </c>
      <c r="G272" s="111" t="s">
        <v>55</v>
      </c>
      <c r="H272" s="70">
        <v>97918</v>
      </c>
      <c r="I272" s="70">
        <v>101427</v>
      </c>
      <c r="J272" s="70">
        <v>100016</v>
      </c>
      <c r="K272" s="70">
        <v>98010</v>
      </c>
      <c r="L272" s="70">
        <v>93536</v>
      </c>
      <c r="M272" s="70">
        <v>102095</v>
      </c>
      <c r="N272" s="70">
        <v>94041</v>
      </c>
      <c r="O272" s="112">
        <v>112508</v>
      </c>
      <c r="P272" s="112">
        <v>100293</v>
      </c>
      <c r="R272" s="111" t="s">
        <v>55</v>
      </c>
      <c r="S272" s="81">
        <v>4.3</v>
      </c>
      <c r="T272" s="81">
        <v>4.4000000000000004</v>
      </c>
      <c r="U272" s="81">
        <v>4.2</v>
      </c>
      <c r="V272" s="81">
        <v>4.2</v>
      </c>
      <c r="W272" s="81">
        <v>4.9000000000000004</v>
      </c>
      <c r="X272" s="81">
        <v>4.8</v>
      </c>
      <c r="Y272" s="81">
        <v>5.0999999999999996</v>
      </c>
      <c r="Z272" s="81">
        <v>5.5</v>
      </c>
      <c r="AA272" s="81">
        <v>5.3</v>
      </c>
      <c r="AC272" s="111" t="s">
        <v>55</v>
      </c>
      <c r="AD272" s="70">
        <f t="shared" si="227"/>
        <v>8420.9479999999985</v>
      </c>
      <c r="AE272" s="70">
        <f t="shared" si="223"/>
        <v>8925.5760000000009</v>
      </c>
      <c r="AF272" s="70">
        <f t="shared" ref="AF272:AL279" si="260">2*(J272*U272/100)</f>
        <v>8401.344000000001</v>
      </c>
      <c r="AG272" s="70">
        <f t="shared" si="260"/>
        <v>8232.84</v>
      </c>
      <c r="AH272" s="70">
        <f t="shared" si="260"/>
        <v>9166.5280000000002</v>
      </c>
      <c r="AI272" s="70">
        <f t="shared" si="260"/>
        <v>9801.1200000000008</v>
      </c>
      <c r="AJ272" s="70">
        <f t="shared" si="260"/>
        <v>9592.1819999999989</v>
      </c>
      <c r="AK272" s="70">
        <f t="shared" si="260"/>
        <v>12375.88</v>
      </c>
      <c r="AL272" s="70">
        <f t="shared" si="260"/>
        <v>10631.058000000001</v>
      </c>
      <c r="AN272" s="111" t="s">
        <v>55</v>
      </c>
      <c r="AO272" s="113">
        <f t="shared" ref="AO272:AW272" si="261">H272/H270</f>
        <v>0.3152634815561301</v>
      </c>
      <c r="AP272" s="113">
        <f t="shared" si="261"/>
        <v>0.32490742283100343</v>
      </c>
      <c r="AQ272" s="113">
        <f t="shared" si="261"/>
        <v>0.32048706240487063</v>
      </c>
      <c r="AR272" s="113">
        <f t="shared" si="261"/>
        <v>0.31267446571619073</v>
      </c>
      <c r="AS272" s="113">
        <f t="shared" si="261"/>
        <v>0.29851279760005106</v>
      </c>
      <c r="AT272" s="113">
        <f t="shared" si="261"/>
        <v>0.32664964549898895</v>
      </c>
      <c r="AU272" s="113">
        <f t="shared" si="261"/>
        <v>0.29965204534881495</v>
      </c>
      <c r="AV272" s="113">
        <f t="shared" si="261"/>
        <v>0.35802182345846767</v>
      </c>
      <c r="AW272" s="113">
        <f t="shared" si="261"/>
        <v>0.31830458447720456</v>
      </c>
      <c r="AY272" s="111" t="s">
        <v>55</v>
      </c>
      <c r="AZ272" s="179">
        <f t="shared" si="257"/>
        <v>2.7112659413827189E-2</v>
      </c>
      <c r="BA272" s="179">
        <f t="shared" si="257"/>
        <v>2.8591853209128305E-2</v>
      </c>
      <c r="BB272" s="179">
        <f t="shared" si="257"/>
        <v>2.6920913242009133E-2</v>
      </c>
      <c r="BC272" s="179">
        <f t="shared" si="255"/>
        <v>2.6264655120160022E-2</v>
      </c>
      <c r="BD272" s="179">
        <f t="shared" si="255"/>
        <v>2.9254254164805003E-2</v>
      </c>
      <c r="BE272" s="179">
        <f t="shared" si="255"/>
        <v>3.1358365967902938E-2</v>
      </c>
      <c r="BF272" s="179">
        <f t="shared" si="255"/>
        <v>3.0564508625579124E-2</v>
      </c>
      <c r="BG272" s="179">
        <f t="shared" si="255"/>
        <v>3.9382400580431444E-2</v>
      </c>
      <c r="BH272" s="179">
        <f t="shared" si="255"/>
        <v>3.3740285954583678E-2</v>
      </c>
    </row>
    <row r="273" spans="2:68" s="108" customFormat="1" x14ac:dyDescent="0.25">
      <c r="B273" s="107"/>
      <c r="E273" s="109" t="s">
        <v>4</v>
      </c>
      <c r="F273" s="110" t="s">
        <v>62</v>
      </c>
      <c r="G273" s="111" t="s">
        <v>130</v>
      </c>
      <c r="H273" s="70">
        <v>34661</v>
      </c>
      <c r="I273" s="70">
        <v>36066</v>
      </c>
      <c r="J273" s="70">
        <v>39780</v>
      </c>
      <c r="K273" s="70">
        <v>36598</v>
      </c>
      <c r="L273" s="70">
        <v>38781</v>
      </c>
      <c r="M273" s="70">
        <v>44391</v>
      </c>
      <c r="N273" s="70">
        <v>46959</v>
      </c>
      <c r="O273" s="112">
        <v>37250</v>
      </c>
      <c r="P273" s="112">
        <v>39980</v>
      </c>
      <c r="R273" s="111" t="s">
        <v>130</v>
      </c>
      <c r="S273" s="220">
        <v>7.8</v>
      </c>
      <c r="T273" s="220">
        <v>7.9</v>
      </c>
      <c r="U273" s="220">
        <v>7.6</v>
      </c>
      <c r="V273" s="220">
        <v>7.1</v>
      </c>
      <c r="W273" s="220">
        <v>8</v>
      </c>
      <c r="X273" s="220">
        <v>8</v>
      </c>
      <c r="Y273" s="220">
        <v>7.4</v>
      </c>
      <c r="Z273" s="220">
        <v>9.9</v>
      </c>
      <c r="AA273" s="220">
        <v>9.4</v>
      </c>
      <c r="AC273" s="111" t="s">
        <v>130</v>
      </c>
      <c r="AD273" s="70">
        <f t="shared" si="227"/>
        <v>5407.116</v>
      </c>
      <c r="AE273" s="70">
        <f t="shared" si="227"/>
        <v>5698.4280000000008</v>
      </c>
      <c r="AF273" s="70">
        <f t="shared" si="260"/>
        <v>6046.56</v>
      </c>
      <c r="AG273" s="70">
        <f t="shared" si="260"/>
        <v>5196.9160000000002</v>
      </c>
      <c r="AH273" s="70">
        <f t="shared" si="260"/>
        <v>6204.96</v>
      </c>
      <c r="AI273" s="70">
        <f t="shared" si="260"/>
        <v>7102.56</v>
      </c>
      <c r="AJ273" s="70">
        <f t="shared" si="260"/>
        <v>6949.9320000000007</v>
      </c>
      <c r="AK273" s="70">
        <f t="shared" si="260"/>
        <v>7375.5</v>
      </c>
      <c r="AL273" s="70">
        <f t="shared" si="260"/>
        <v>7516.24</v>
      </c>
      <c r="AN273" s="111" t="s">
        <v>130</v>
      </c>
      <c r="AO273" s="113">
        <f t="shared" ref="AO273:AW273" si="262">H273/H270</f>
        <v>0.11159692328496318</v>
      </c>
      <c r="AP273" s="113">
        <f t="shared" si="262"/>
        <v>0.11553246287303154</v>
      </c>
      <c r="AQ273" s="113">
        <f t="shared" si="262"/>
        <v>0.12746935832732517</v>
      </c>
      <c r="AR273" s="113">
        <f t="shared" si="262"/>
        <v>0.11675604628386031</v>
      </c>
      <c r="AS273" s="113">
        <f t="shared" si="262"/>
        <v>0.12376651560605094</v>
      </c>
      <c r="AT273" s="113">
        <f t="shared" si="262"/>
        <v>0.1420275666129156</v>
      </c>
      <c r="AU273" s="113">
        <f t="shared" si="262"/>
        <v>0.14963005920327307</v>
      </c>
      <c r="AV273" s="113">
        <f t="shared" si="262"/>
        <v>0.1185365744998393</v>
      </c>
      <c r="AW273" s="113">
        <f t="shared" si="262"/>
        <v>0.12688639573448435</v>
      </c>
      <c r="AY273" s="111" t="s">
        <v>130</v>
      </c>
      <c r="AZ273" s="179">
        <f t="shared" si="257"/>
        <v>1.7409120032454255E-2</v>
      </c>
      <c r="BA273" s="179">
        <f t="shared" si="257"/>
        <v>1.8254129133938982E-2</v>
      </c>
      <c r="BB273" s="179">
        <f t="shared" si="257"/>
        <v>1.9375342465753426E-2</v>
      </c>
      <c r="BC273" s="179">
        <f t="shared" si="255"/>
        <v>1.6579358572308162E-2</v>
      </c>
      <c r="BD273" s="179">
        <f t="shared" si="255"/>
        <v>1.9802642496968149E-2</v>
      </c>
      <c r="BE273" s="179">
        <f t="shared" si="255"/>
        <v>2.2724410658066498E-2</v>
      </c>
      <c r="BF273" s="179">
        <f t="shared" si="255"/>
        <v>2.2145248762084416E-2</v>
      </c>
      <c r="BG273" s="179">
        <f t="shared" si="255"/>
        <v>2.3470241750968183E-2</v>
      </c>
      <c r="BH273" s="179">
        <f t="shared" si="255"/>
        <v>2.3854642398083058E-2</v>
      </c>
    </row>
    <row r="274" spans="2:68" s="108" customFormat="1" x14ac:dyDescent="0.25">
      <c r="B274" s="107"/>
      <c r="E274" s="109" t="s">
        <v>4</v>
      </c>
      <c r="F274" s="110" t="s">
        <v>62</v>
      </c>
      <c r="G274" s="111" t="s">
        <v>131</v>
      </c>
      <c r="H274" s="112">
        <v>90545</v>
      </c>
      <c r="I274" s="112">
        <v>89898</v>
      </c>
      <c r="J274" s="112">
        <v>94520</v>
      </c>
      <c r="K274" s="112">
        <v>99170</v>
      </c>
      <c r="L274" s="112">
        <v>103133</v>
      </c>
      <c r="M274" s="112">
        <v>90630</v>
      </c>
      <c r="N274" s="112">
        <v>96708</v>
      </c>
      <c r="O274" s="112">
        <v>105552</v>
      </c>
      <c r="P274" s="112">
        <v>123307</v>
      </c>
      <c r="R274" s="111" t="s">
        <v>131</v>
      </c>
      <c r="S274" s="220">
        <v>4.3</v>
      </c>
      <c r="T274" s="220">
        <v>4.9000000000000004</v>
      </c>
      <c r="U274" s="220">
        <v>4.3</v>
      </c>
      <c r="V274" s="220">
        <v>3.8</v>
      </c>
      <c r="W274" s="220">
        <v>3.8</v>
      </c>
      <c r="X274" s="220">
        <v>4.8</v>
      </c>
      <c r="Y274" s="220">
        <v>3.8</v>
      </c>
      <c r="Z274" s="220">
        <v>5.5</v>
      </c>
      <c r="AA274" s="220">
        <v>4.7</v>
      </c>
      <c r="AC274" s="111" t="s">
        <v>131</v>
      </c>
      <c r="AD274" s="112">
        <f t="shared" si="227"/>
        <v>7786.87</v>
      </c>
      <c r="AE274" s="112">
        <f t="shared" si="227"/>
        <v>8810.0040000000008</v>
      </c>
      <c r="AF274" s="112">
        <f t="shared" si="260"/>
        <v>8128.72</v>
      </c>
      <c r="AG274" s="112">
        <f t="shared" si="260"/>
        <v>7536.92</v>
      </c>
      <c r="AH274" s="112">
        <f t="shared" si="260"/>
        <v>7838.1079999999993</v>
      </c>
      <c r="AI274" s="112">
        <f t="shared" si="260"/>
        <v>8700.48</v>
      </c>
      <c r="AJ274" s="112">
        <f t="shared" si="260"/>
        <v>7349.8079999999991</v>
      </c>
      <c r="AK274" s="112">
        <f t="shared" si="260"/>
        <v>11610.72</v>
      </c>
      <c r="AL274" s="112">
        <f t="shared" si="260"/>
        <v>11590.858</v>
      </c>
      <c r="AN274" s="111" t="s">
        <v>131</v>
      </c>
      <c r="AO274" s="113">
        <f t="shared" ref="AO274:AW274" si="263">H274/H270</f>
        <v>0.29152486710819053</v>
      </c>
      <c r="AP274" s="113">
        <f t="shared" si="263"/>
        <v>0.28797585946209142</v>
      </c>
      <c r="AQ274" s="113">
        <f t="shared" si="263"/>
        <v>0.30287591123928542</v>
      </c>
      <c r="AR274" s="113">
        <f t="shared" si="263"/>
        <v>0.31637513279333368</v>
      </c>
      <c r="AS274" s="113">
        <f t="shared" si="263"/>
        <v>0.32914086934320547</v>
      </c>
      <c r="AT274" s="113">
        <f t="shared" si="263"/>
        <v>0.28996774936650543</v>
      </c>
      <c r="AU274" s="113">
        <f t="shared" si="263"/>
        <v>0.30815016856044913</v>
      </c>
      <c r="AV274" s="113">
        <f t="shared" si="263"/>
        <v>0.33588651037871242</v>
      </c>
      <c r="AW274" s="113">
        <f t="shared" si="263"/>
        <v>0.39134519256708505</v>
      </c>
      <c r="AY274" s="111" t="s">
        <v>131</v>
      </c>
      <c r="AZ274" s="179">
        <f t="shared" si="257"/>
        <v>2.5071138571304386E-2</v>
      </c>
      <c r="BA274" s="179">
        <f t="shared" si="257"/>
        <v>2.8221634227284961E-2</v>
      </c>
      <c r="BB274" s="179">
        <f t="shared" si="257"/>
        <v>2.6047328366578543E-2</v>
      </c>
      <c r="BC274" s="179">
        <f t="shared" si="255"/>
        <v>2.4044510092293359E-2</v>
      </c>
      <c r="BD274" s="179">
        <f t="shared" si="255"/>
        <v>2.5014706070083614E-2</v>
      </c>
      <c r="BE274" s="179">
        <f t="shared" si="255"/>
        <v>2.7836903939184521E-2</v>
      </c>
      <c r="BF274" s="179">
        <f t="shared" si="255"/>
        <v>2.3419412810594134E-2</v>
      </c>
      <c r="BG274" s="179">
        <f t="shared" si="255"/>
        <v>3.6947516141658365E-2</v>
      </c>
      <c r="BH274" s="179">
        <f t="shared" si="255"/>
        <v>3.6786448101305998E-2</v>
      </c>
    </row>
    <row r="275" spans="2:68" s="87" customFormat="1" x14ac:dyDescent="0.25">
      <c r="B275" s="84"/>
      <c r="C275" s="85"/>
      <c r="D275" s="85"/>
      <c r="E275" s="109" t="s">
        <v>5</v>
      </c>
      <c r="F275" s="110" t="s">
        <v>62</v>
      </c>
      <c r="G275" s="195" t="s">
        <v>7</v>
      </c>
      <c r="H275" s="69">
        <v>323672</v>
      </c>
      <c r="I275" s="69">
        <v>326394</v>
      </c>
      <c r="J275" s="69">
        <v>326155</v>
      </c>
      <c r="K275" s="69">
        <v>328324</v>
      </c>
      <c r="L275" s="69">
        <v>330621</v>
      </c>
      <c r="M275" s="69">
        <v>331249</v>
      </c>
      <c r="N275" s="69">
        <v>330000</v>
      </c>
      <c r="O275" s="69">
        <v>328735</v>
      </c>
      <c r="P275" s="69">
        <v>329663</v>
      </c>
      <c r="Q275" s="108"/>
      <c r="R275" s="195" t="s">
        <v>7</v>
      </c>
      <c r="S275" s="226">
        <v>1.8</v>
      </c>
      <c r="T275" s="226">
        <v>0.9</v>
      </c>
      <c r="U275" s="226">
        <v>1.9</v>
      </c>
      <c r="V275" s="226">
        <v>0.7</v>
      </c>
      <c r="W275" s="226">
        <v>0.8</v>
      </c>
      <c r="X275" s="226">
        <v>1</v>
      </c>
      <c r="Y275" s="226">
        <v>0.9</v>
      </c>
      <c r="Z275" s="226">
        <v>1.1000000000000001</v>
      </c>
      <c r="AA275" s="226">
        <v>1</v>
      </c>
      <c r="AC275" s="195" t="s">
        <v>7</v>
      </c>
      <c r="AD275" s="69">
        <f t="shared" si="227"/>
        <v>11652.191999999999</v>
      </c>
      <c r="AE275" s="69">
        <f t="shared" si="227"/>
        <v>5875.0920000000006</v>
      </c>
      <c r="AF275" s="69">
        <f t="shared" si="260"/>
        <v>12393.89</v>
      </c>
      <c r="AG275" s="69">
        <f t="shared" si="260"/>
        <v>4596.5360000000001</v>
      </c>
      <c r="AH275" s="69">
        <f t="shared" si="260"/>
        <v>5289.9359999999997</v>
      </c>
      <c r="AI275" s="69">
        <f t="shared" si="260"/>
        <v>6624.98</v>
      </c>
      <c r="AJ275" s="69">
        <f t="shared" si="260"/>
        <v>5940</v>
      </c>
      <c r="AK275" s="69">
        <f t="shared" si="260"/>
        <v>7232.170000000001</v>
      </c>
      <c r="AL275" s="69">
        <f t="shared" si="260"/>
        <v>6593.26</v>
      </c>
      <c r="AN275" s="195" t="s">
        <v>7</v>
      </c>
      <c r="AO275" s="98">
        <f t="shared" ref="AO275:AW275" si="264">H275/H275</f>
        <v>1</v>
      </c>
      <c r="AP275" s="98">
        <f t="shared" si="264"/>
        <v>1</v>
      </c>
      <c r="AQ275" s="98">
        <f t="shared" si="264"/>
        <v>1</v>
      </c>
      <c r="AR275" s="98">
        <f t="shared" si="264"/>
        <v>1</v>
      </c>
      <c r="AS275" s="98">
        <f t="shared" si="264"/>
        <v>1</v>
      </c>
      <c r="AT275" s="98">
        <f t="shared" si="264"/>
        <v>1</v>
      </c>
      <c r="AU275" s="98">
        <f t="shared" si="264"/>
        <v>1</v>
      </c>
      <c r="AV275" s="98">
        <f t="shared" si="264"/>
        <v>1</v>
      </c>
      <c r="AW275" s="98">
        <f t="shared" si="264"/>
        <v>1</v>
      </c>
      <c r="AX275" s="191"/>
      <c r="AY275" s="195" t="s">
        <v>7</v>
      </c>
      <c r="AZ275" s="178">
        <f t="shared" si="257"/>
        <v>3.6000000000000004E-2</v>
      </c>
      <c r="BA275" s="178">
        <f t="shared" si="257"/>
        <v>1.8000000000000002E-2</v>
      </c>
      <c r="BB275" s="178">
        <f t="shared" si="257"/>
        <v>3.7999999999999999E-2</v>
      </c>
      <c r="BC275" s="178">
        <f t="shared" si="255"/>
        <v>1.3999999999999999E-2</v>
      </c>
      <c r="BD275" s="178">
        <f t="shared" si="255"/>
        <v>1.6E-2</v>
      </c>
      <c r="BE275" s="178">
        <f t="shared" si="255"/>
        <v>0.02</v>
      </c>
      <c r="BF275" s="178">
        <f t="shared" si="255"/>
        <v>1.8000000000000002E-2</v>
      </c>
      <c r="BG275" s="178">
        <f t="shared" si="255"/>
        <v>2.2000000000000002E-2</v>
      </c>
      <c r="BH275" s="178">
        <f t="shared" si="255"/>
        <v>0.02</v>
      </c>
      <c r="BI275" s="191"/>
      <c r="BJ275" s="191"/>
      <c r="BK275" s="191"/>
      <c r="BL275" s="191"/>
      <c r="BM275" s="191"/>
      <c r="BN275" s="191"/>
      <c r="BO275" s="191"/>
      <c r="BP275" s="191"/>
    </row>
    <row r="276" spans="2:68" s="108" customFormat="1" x14ac:dyDescent="0.25">
      <c r="B276" s="107"/>
      <c r="E276" s="109" t="s">
        <v>5</v>
      </c>
      <c r="F276" s="110" t="s">
        <v>62</v>
      </c>
      <c r="G276" s="111" t="s">
        <v>54</v>
      </c>
      <c r="H276" s="112">
        <v>80489</v>
      </c>
      <c r="I276" s="112">
        <v>80152</v>
      </c>
      <c r="J276" s="112">
        <v>66211</v>
      </c>
      <c r="K276" s="112">
        <v>70979</v>
      </c>
      <c r="L276" s="112">
        <v>65545</v>
      </c>
      <c r="M276" s="112">
        <v>71026</v>
      </c>
      <c r="N276" s="112">
        <v>62134</v>
      </c>
      <c r="O276" s="112">
        <v>58278</v>
      </c>
      <c r="P276" s="112">
        <v>41309</v>
      </c>
      <c r="R276" s="111" t="s">
        <v>54</v>
      </c>
      <c r="S276" s="220">
        <v>4.5</v>
      </c>
      <c r="T276" s="220">
        <v>5.0999999999999996</v>
      </c>
      <c r="U276" s="220">
        <v>5.4</v>
      </c>
      <c r="V276" s="220">
        <v>4.7</v>
      </c>
      <c r="W276" s="220">
        <v>5.6</v>
      </c>
      <c r="X276" s="220">
        <v>5.8</v>
      </c>
      <c r="Y276" s="220">
        <v>6.1</v>
      </c>
      <c r="Z276" s="220">
        <v>7.9</v>
      </c>
      <c r="AA276" s="220">
        <v>8.8000000000000007</v>
      </c>
      <c r="AC276" s="111" t="s">
        <v>54</v>
      </c>
      <c r="AD276" s="112">
        <f t="shared" si="227"/>
        <v>7244.01</v>
      </c>
      <c r="AE276" s="112">
        <f t="shared" si="227"/>
        <v>8175.503999999999</v>
      </c>
      <c r="AF276" s="112">
        <f t="shared" si="260"/>
        <v>7150.7880000000005</v>
      </c>
      <c r="AG276" s="112">
        <f t="shared" si="260"/>
        <v>6672.0259999999998</v>
      </c>
      <c r="AH276" s="112">
        <f t="shared" si="260"/>
        <v>7341.04</v>
      </c>
      <c r="AI276" s="112">
        <f t="shared" si="260"/>
        <v>8239.0159999999996</v>
      </c>
      <c r="AJ276" s="112">
        <f t="shared" si="260"/>
        <v>7580.347999999999</v>
      </c>
      <c r="AK276" s="112">
        <f t="shared" si="260"/>
        <v>9207.9240000000009</v>
      </c>
      <c r="AL276" s="112">
        <f t="shared" si="260"/>
        <v>7270.384</v>
      </c>
      <c r="AN276" s="111" t="s">
        <v>54</v>
      </c>
      <c r="AO276" s="113">
        <f t="shared" ref="AO276:AW276" si="265">H276/H275</f>
        <v>0.24867458414691415</v>
      </c>
      <c r="AP276" s="113">
        <f t="shared" si="265"/>
        <v>0.24556823961224777</v>
      </c>
      <c r="AQ276" s="113">
        <f t="shared" si="265"/>
        <v>0.20300470635127471</v>
      </c>
      <c r="AR276" s="113">
        <f t="shared" si="265"/>
        <v>0.21618584081577955</v>
      </c>
      <c r="AS276" s="113">
        <f t="shared" si="265"/>
        <v>0.19824814515714367</v>
      </c>
      <c r="AT276" s="113">
        <f t="shared" si="265"/>
        <v>0.21441876050946568</v>
      </c>
      <c r="AU276" s="113">
        <f t="shared" si="265"/>
        <v>0.18828484848484847</v>
      </c>
      <c r="AV276" s="113">
        <f t="shared" si="265"/>
        <v>0.17727957169148403</v>
      </c>
      <c r="AW276" s="113">
        <f t="shared" si="265"/>
        <v>0.12530675265346733</v>
      </c>
      <c r="AY276" s="111" t="s">
        <v>54</v>
      </c>
      <c r="AZ276" s="179">
        <f t="shared" si="257"/>
        <v>2.2380712573222272E-2</v>
      </c>
      <c r="BA276" s="179">
        <f t="shared" si="257"/>
        <v>2.5047960440449272E-2</v>
      </c>
      <c r="BB276" s="179">
        <f t="shared" si="257"/>
        <v>2.1924508285937668E-2</v>
      </c>
      <c r="BC276" s="179">
        <f t="shared" si="255"/>
        <v>2.0321469036683276E-2</v>
      </c>
      <c r="BD276" s="179">
        <f t="shared" si="255"/>
        <v>2.2203792257600087E-2</v>
      </c>
      <c r="BE276" s="179">
        <f t="shared" si="255"/>
        <v>2.4872576219098018E-2</v>
      </c>
      <c r="BF276" s="179">
        <f t="shared" si="255"/>
        <v>2.2970751515151509E-2</v>
      </c>
      <c r="BG276" s="179">
        <f t="shared" si="255"/>
        <v>2.8010172327254477E-2</v>
      </c>
      <c r="BH276" s="179">
        <f t="shared" si="255"/>
        <v>2.205398846701025E-2</v>
      </c>
    </row>
    <row r="277" spans="2:68" s="108" customFormat="1" x14ac:dyDescent="0.25">
      <c r="B277" s="107"/>
      <c r="E277" s="109" t="s">
        <v>5</v>
      </c>
      <c r="F277" s="110" t="s">
        <v>62</v>
      </c>
      <c r="G277" s="111" t="s">
        <v>55</v>
      </c>
      <c r="H277" s="70">
        <v>76040</v>
      </c>
      <c r="I277" s="70">
        <v>76341</v>
      </c>
      <c r="J277" s="70">
        <v>87061</v>
      </c>
      <c r="K277" s="70">
        <v>82139</v>
      </c>
      <c r="L277" s="70">
        <v>83176</v>
      </c>
      <c r="M277" s="70">
        <v>92342</v>
      </c>
      <c r="N277" s="70">
        <v>87735</v>
      </c>
      <c r="O277" s="112">
        <v>81507</v>
      </c>
      <c r="P277" s="112">
        <v>86048</v>
      </c>
      <c r="R277" s="111" t="s">
        <v>55</v>
      </c>
      <c r="S277" s="81">
        <v>4.7</v>
      </c>
      <c r="T277" s="81">
        <v>5.3</v>
      </c>
      <c r="U277" s="81">
        <v>4.7</v>
      </c>
      <c r="V277" s="81">
        <v>4.5</v>
      </c>
      <c r="W277" s="81">
        <v>5.2</v>
      </c>
      <c r="X277" s="81">
        <v>5.2</v>
      </c>
      <c r="Y277" s="81">
        <v>5.3</v>
      </c>
      <c r="Z277" s="81">
        <v>6.4</v>
      </c>
      <c r="AA277" s="81">
        <v>5.9</v>
      </c>
      <c r="AC277" s="111" t="s">
        <v>55</v>
      </c>
      <c r="AD277" s="70">
        <f t="shared" si="227"/>
        <v>7147.76</v>
      </c>
      <c r="AE277" s="70">
        <f t="shared" si="227"/>
        <v>8092.1459999999997</v>
      </c>
      <c r="AF277" s="70">
        <f t="shared" si="260"/>
        <v>8183.7340000000004</v>
      </c>
      <c r="AG277" s="70">
        <f t="shared" si="260"/>
        <v>7392.51</v>
      </c>
      <c r="AH277" s="70">
        <f t="shared" si="260"/>
        <v>8650.3040000000001</v>
      </c>
      <c r="AI277" s="70">
        <f t="shared" si="260"/>
        <v>9603.5680000000011</v>
      </c>
      <c r="AJ277" s="70">
        <f t="shared" si="260"/>
        <v>9299.91</v>
      </c>
      <c r="AK277" s="70">
        <f t="shared" si="260"/>
        <v>10432.896000000001</v>
      </c>
      <c r="AL277" s="70">
        <f t="shared" si="260"/>
        <v>10153.664000000001</v>
      </c>
      <c r="AN277" s="111" t="s">
        <v>55</v>
      </c>
      <c r="AO277" s="113">
        <f t="shared" ref="AO277:AW277" si="266">H277/H275</f>
        <v>0.23492918757260436</v>
      </c>
      <c r="AP277" s="113">
        <f t="shared" si="266"/>
        <v>0.23389216713542529</v>
      </c>
      <c r="AQ277" s="113">
        <f t="shared" si="266"/>
        <v>0.2669313669880885</v>
      </c>
      <c r="AR277" s="113">
        <f t="shared" si="266"/>
        <v>0.25017665476785128</v>
      </c>
      <c r="AS277" s="113">
        <f t="shared" si="266"/>
        <v>0.25157506631460191</v>
      </c>
      <c r="AT277" s="113">
        <f t="shared" si="266"/>
        <v>0.27876914345401799</v>
      </c>
      <c r="AU277" s="113">
        <f t="shared" si="266"/>
        <v>0.26586363636363636</v>
      </c>
      <c r="AV277" s="113">
        <f t="shared" si="266"/>
        <v>0.2479413509361644</v>
      </c>
      <c r="AW277" s="113">
        <f t="shared" si="266"/>
        <v>0.26101806996842231</v>
      </c>
      <c r="AY277" s="111" t="s">
        <v>55</v>
      </c>
      <c r="AZ277" s="179">
        <f t="shared" si="257"/>
        <v>2.2083343631824813E-2</v>
      </c>
      <c r="BA277" s="179">
        <f t="shared" si="257"/>
        <v>2.479256971635508E-2</v>
      </c>
      <c r="BB277" s="179">
        <f t="shared" si="257"/>
        <v>2.509154849688032E-2</v>
      </c>
      <c r="BC277" s="179">
        <f t="shared" si="255"/>
        <v>2.2515898929106614E-2</v>
      </c>
      <c r="BD277" s="179">
        <f t="shared" si="255"/>
        <v>2.61638068967186E-2</v>
      </c>
      <c r="BE277" s="179">
        <f t="shared" si="255"/>
        <v>2.8991990919217874E-2</v>
      </c>
      <c r="BF277" s="179">
        <f t="shared" si="255"/>
        <v>2.8181545454545452E-2</v>
      </c>
      <c r="BG277" s="179">
        <f t="shared" si="255"/>
        <v>3.1736492919829044E-2</v>
      </c>
      <c r="BH277" s="179">
        <f t="shared" si="255"/>
        <v>3.0800132256273836E-2</v>
      </c>
    </row>
    <row r="278" spans="2:68" s="108" customFormat="1" x14ac:dyDescent="0.25">
      <c r="B278" s="107"/>
      <c r="E278" s="109" t="s">
        <v>5</v>
      </c>
      <c r="F278" s="110" t="s">
        <v>62</v>
      </c>
      <c r="G278" s="111" t="s">
        <v>130</v>
      </c>
      <c r="H278" s="70">
        <v>41621</v>
      </c>
      <c r="I278" s="70">
        <v>46049</v>
      </c>
      <c r="J278" s="70">
        <v>37286</v>
      </c>
      <c r="K278" s="70">
        <v>36640</v>
      </c>
      <c r="L278" s="70">
        <v>46496</v>
      </c>
      <c r="M278" s="70">
        <v>37702</v>
      </c>
      <c r="N278" s="70">
        <v>44058</v>
      </c>
      <c r="O278" s="112">
        <v>40218</v>
      </c>
      <c r="P278" s="112">
        <v>42777</v>
      </c>
      <c r="R278" s="111" t="s">
        <v>130</v>
      </c>
      <c r="S278" s="220">
        <v>6.6</v>
      </c>
      <c r="T278" s="220">
        <v>7</v>
      </c>
      <c r="U278" s="220">
        <v>7.6</v>
      </c>
      <c r="V278" s="220">
        <v>7.1</v>
      </c>
      <c r="W278" s="220">
        <v>7.1</v>
      </c>
      <c r="X278" s="220">
        <v>8.6</v>
      </c>
      <c r="Y278" s="220">
        <v>7.9</v>
      </c>
      <c r="Z278" s="220">
        <v>9.3000000000000007</v>
      </c>
      <c r="AA278" s="220">
        <v>8.8000000000000007</v>
      </c>
      <c r="AC278" s="111" t="s">
        <v>130</v>
      </c>
      <c r="AD278" s="70">
        <f t="shared" si="227"/>
        <v>5493.9719999999998</v>
      </c>
      <c r="AE278" s="70">
        <f t="shared" si="227"/>
        <v>6446.86</v>
      </c>
      <c r="AF278" s="70">
        <f t="shared" si="260"/>
        <v>5667.4719999999998</v>
      </c>
      <c r="AG278" s="70">
        <f t="shared" si="260"/>
        <v>5202.88</v>
      </c>
      <c r="AH278" s="70">
        <f t="shared" si="260"/>
        <v>6602.4319999999998</v>
      </c>
      <c r="AI278" s="70">
        <f t="shared" si="260"/>
        <v>6484.7440000000006</v>
      </c>
      <c r="AJ278" s="70">
        <f t="shared" si="260"/>
        <v>6961.1640000000007</v>
      </c>
      <c r="AK278" s="70">
        <f t="shared" si="260"/>
        <v>7480.5480000000007</v>
      </c>
      <c r="AL278" s="70">
        <f t="shared" si="260"/>
        <v>7528.7520000000004</v>
      </c>
      <c r="AN278" s="111" t="s">
        <v>130</v>
      </c>
      <c r="AO278" s="113">
        <f t="shared" ref="AO278:AW278" si="267">H278/H275</f>
        <v>0.1285900541288712</v>
      </c>
      <c r="AP278" s="113">
        <f t="shared" si="267"/>
        <v>0.14108408855554944</v>
      </c>
      <c r="AQ278" s="113">
        <f t="shared" si="267"/>
        <v>0.1143198785853352</v>
      </c>
      <c r="AR278" s="113">
        <f t="shared" si="267"/>
        <v>0.11159708093224985</v>
      </c>
      <c r="AS278" s="113">
        <f t="shared" si="267"/>
        <v>0.14063232523039976</v>
      </c>
      <c r="AT278" s="113">
        <f t="shared" si="267"/>
        <v>0.11381770209117613</v>
      </c>
      <c r="AU278" s="113">
        <f t="shared" si="267"/>
        <v>0.13350909090909091</v>
      </c>
      <c r="AV278" s="113">
        <f t="shared" si="267"/>
        <v>0.12234170380397584</v>
      </c>
      <c r="AW278" s="113">
        <f t="shared" si="267"/>
        <v>0.129759784992553</v>
      </c>
      <c r="AY278" s="111" t="s">
        <v>130</v>
      </c>
      <c r="AZ278" s="179">
        <f t="shared" si="257"/>
        <v>1.6973887145010996E-2</v>
      </c>
      <c r="BA278" s="179">
        <f t="shared" si="257"/>
        <v>1.975177239777692E-2</v>
      </c>
      <c r="BB278" s="179">
        <f t="shared" si="257"/>
        <v>1.7376621544970949E-2</v>
      </c>
      <c r="BC278" s="179">
        <f t="shared" si="255"/>
        <v>1.584678549237948E-2</v>
      </c>
      <c r="BD278" s="179">
        <f t="shared" si="255"/>
        <v>1.9969790182716763E-2</v>
      </c>
      <c r="BE278" s="179">
        <f t="shared" si="255"/>
        <v>1.9576644759682293E-2</v>
      </c>
      <c r="BF278" s="179">
        <f t="shared" si="255"/>
        <v>2.1094436363636365E-2</v>
      </c>
      <c r="BG278" s="179">
        <f t="shared" si="255"/>
        <v>2.2755556907539509E-2</v>
      </c>
      <c r="BH278" s="179">
        <f t="shared" si="255"/>
        <v>2.283772215868933E-2</v>
      </c>
    </row>
    <row r="279" spans="2:68" s="108" customFormat="1" x14ac:dyDescent="0.25">
      <c r="B279" s="107"/>
      <c r="E279" s="109" t="s">
        <v>5</v>
      </c>
      <c r="F279" s="110" t="s">
        <v>62</v>
      </c>
      <c r="G279" s="111" t="s">
        <v>131</v>
      </c>
      <c r="H279" s="112">
        <v>125068</v>
      </c>
      <c r="I279" s="112">
        <v>123088</v>
      </c>
      <c r="J279" s="112">
        <v>134695</v>
      </c>
      <c r="K279" s="112">
        <v>137877</v>
      </c>
      <c r="L279" s="112">
        <v>133463</v>
      </c>
      <c r="M279" s="112">
        <v>129409</v>
      </c>
      <c r="N279" s="112">
        <v>133641</v>
      </c>
      <c r="O279" s="112">
        <v>148732</v>
      </c>
      <c r="P279" s="112">
        <v>159530</v>
      </c>
      <c r="R279" s="111" t="s">
        <v>131</v>
      </c>
      <c r="S279" s="220">
        <v>3.5</v>
      </c>
      <c r="T279" s="220">
        <v>4.4000000000000004</v>
      </c>
      <c r="U279" s="220">
        <v>3.8</v>
      </c>
      <c r="V279" s="220">
        <v>2.8</v>
      </c>
      <c r="W279" s="220">
        <v>3.2</v>
      </c>
      <c r="X279" s="220">
        <v>3.5</v>
      </c>
      <c r="Y279" s="220">
        <v>3.2</v>
      </c>
      <c r="Z279" s="220">
        <v>5</v>
      </c>
      <c r="AA279" s="220">
        <v>4.2</v>
      </c>
      <c r="AC279" s="111" t="s">
        <v>131</v>
      </c>
      <c r="AD279" s="112">
        <f t="shared" si="227"/>
        <v>8754.76</v>
      </c>
      <c r="AE279" s="112">
        <f t="shared" si="227"/>
        <v>10831.744000000001</v>
      </c>
      <c r="AF279" s="112">
        <f t="shared" si="260"/>
        <v>10236.82</v>
      </c>
      <c r="AG279" s="112">
        <f t="shared" si="260"/>
        <v>7721.1119999999992</v>
      </c>
      <c r="AH279" s="112">
        <f t="shared" si="260"/>
        <v>8541.6320000000014</v>
      </c>
      <c r="AI279" s="112">
        <f t="shared" si="260"/>
        <v>9058.6299999999992</v>
      </c>
      <c r="AJ279" s="112">
        <f t="shared" si="260"/>
        <v>8553.0239999999994</v>
      </c>
      <c r="AK279" s="112">
        <f t="shared" si="260"/>
        <v>14873.2</v>
      </c>
      <c r="AL279" s="112">
        <f t="shared" si="260"/>
        <v>13400.52</v>
      </c>
      <c r="AN279" s="111" t="s">
        <v>131</v>
      </c>
      <c r="AO279" s="113">
        <f t="shared" ref="AO279:AW279" si="268">H279/H275</f>
        <v>0.38640351961244718</v>
      </c>
      <c r="AP279" s="113">
        <f t="shared" si="268"/>
        <v>0.37711477539415555</v>
      </c>
      <c r="AQ279" s="113">
        <f t="shared" si="268"/>
        <v>0.41297849182137325</v>
      </c>
      <c r="AR279" s="113">
        <f t="shared" si="268"/>
        <v>0.41994188667292065</v>
      </c>
      <c r="AS279" s="113">
        <f t="shared" si="268"/>
        <v>0.40367369283862792</v>
      </c>
      <c r="AT279" s="113">
        <f t="shared" si="268"/>
        <v>0.3906698586259883</v>
      </c>
      <c r="AU279" s="113">
        <f t="shared" si="268"/>
        <v>0.40497272727272726</v>
      </c>
      <c r="AV279" s="113">
        <f t="shared" si="268"/>
        <v>0.45243737356837577</v>
      </c>
      <c r="AW279" s="113">
        <f t="shared" si="268"/>
        <v>0.48391842578633332</v>
      </c>
      <c r="AY279" s="111" t="s">
        <v>131</v>
      </c>
      <c r="AZ279" s="179">
        <f t="shared" si="257"/>
        <v>2.7048246372871301E-2</v>
      </c>
      <c r="BA279" s="179">
        <f t="shared" si="257"/>
        <v>3.3186100234685691E-2</v>
      </c>
      <c r="BB279" s="179">
        <f t="shared" si="257"/>
        <v>3.1386365378424361E-2</v>
      </c>
      <c r="BC279" s="179">
        <f t="shared" si="255"/>
        <v>2.3516745653683554E-2</v>
      </c>
      <c r="BD279" s="179">
        <f t="shared" si="255"/>
        <v>2.5835116341672189E-2</v>
      </c>
      <c r="BE279" s="179">
        <f t="shared" si="255"/>
        <v>2.7346890103819178E-2</v>
      </c>
      <c r="BF279" s="179">
        <f t="shared" si="255"/>
        <v>2.5918254545454548E-2</v>
      </c>
      <c r="BG279" s="179">
        <f t="shared" si="255"/>
        <v>4.5243737356837579E-2</v>
      </c>
      <c r="BH279" s="179">
        <f t="shared" si="255"/>
        <v>4.0649147766051996E-2</v>
      </c>
    </row>
    <row r="280" spans="2:68" x14ac:dyDescent="0.3">
      <c r="H280" s="122" t="s">
        <v>122</v>
      </c>
      <c r="I280" s="122">
        <v>2003</v>
      </c>
      <c r="J280" s="122">
        <v>2005</v>
      </c>
      <c r="K280" s="122" t="s">
        <v>123</v>
      </c>
      <c r="L280" s="122" t="s">
        <v>124</v>
      </c>
      <c r="M280" s="122" t="s">
        <v>125</v>
      </c>
      <c r="N280" s="122" t="s">
        <v>126</v>
      </c>
      <c r="O280" s="122" t="s">
        <v>127</v>
      </c>
      <c r="P280" s="122" t="s">
        <v>128</v>
      </c>
      <c r="R280" s="111"/>
      <c r="S280" s="120" t="s">
        <v>122</v>
      </c>
      <c r="T280" s="121">
        <v>2003</v>
      </c>
      <c r="U280" s="121">
        <v>2005</v>
      </c>
      <c r="V280" s="122" t="s">
        <v>123</v>
      </c>
      <c r="W280" s="122" t="s">
        <v>124</v>
      </c>
      <c r="X280" s="122" t="s">
        <v>125</v>
      </c>
      <c r="Y280" s="122" t="s">
        <v>126</v>
      </c>
      <c r="Z280" s="122" t="s">
        <v>127</v>
      </c>
      <c r="AA280" s="122" t="s">
        <v>128</v>
      </c>
      <c r="AC280" s="197" t="s">
        <v>8</v>
      </c>
      <c r="AD280" s="120" t="s">
        <v>122</v>
      </c>
      <c r="AE280" s="121">
        <v>2003</v>
      </c>
      <c r="AF280" s="121">
        <v>2005</v>
      </c>
      <c r="AG280" s="122" t="s">
        <v>123</v>
      </c>
      <c r="AH280" s="122" t="s">
        <v>124</v>
      </c>
      <c r="AI280" s="122" t="s">
        <v>125</v>
      </c>
      <c r="AJ280" s="122" t="s">
        <v>126</v>
      </c>
      <c r="AK280" s="122" t="s">
        <v>127</v>
      </c>
      <c r="AL280" s="122" t="s">
        <v>128</v>
      </c>
      <c r="AN280" s="197" t="s">
        <v>8</v>
      </c>
      <c r="AO280" s="120" t="s">
        <v>122</v>
      </c>
      <c r="AP280" s="121">
        <v>2003</v>
      </c>
      <c r="AQ280" s="121">
        <v>2005</v>
      </c>
      <c r="AR280" s="122" t="s">
        <v>123</v>
      </c>
      <c r="AS280" s="122" t="s">
        <v>124</v>
      </c>
      <c r="AT280" s="122" t="s">
        <v>125</v>
      </c>
      <c r="AU280" s="122" t="s">
        <v>126</v>
      </c>
      <c r="AV280" s="122" t="s">
        <v>127</v>
      </c>
      <c r="AW280" s="122" t="s">
        <v>128</v>
      </c>
      <c r="AY280" s="197" t="s">
        <v>8</v>
      </c>
      <c r="AZ280" s="120" t="s">
        <v>122</v>
      </c>
      <c r="BA280" s="121">
        <v>2003</v>
      </c>
      <c r="BB280" s="121">
        <v>2005</v>
      </c>
      <c r="BC280" s="122" t="s">
        <v>123</v>
      </c>
      <c r="BD280" s="122" t="s">
        <v>124</v>
      </c>
      <c r="BE280" s="122" t="s">
        <v>125</v>
      </c>
      <c r="BF280" s="122" t="s">
        <v>126</v>
      </c>
      <c r="BG280" s="122" t="s">
        <v>127</v>
      </c>
      <c r="BH280" s="122" t="s">
        <v>128</v>
      </c>
    </row>
    <row r="281" spans="2:68" s="87" customFormat="1" x14ac:dyDescent="0.25">
      <c r="B281" s="84"/>
      <c r="C281" s="85"/>
      <c r="D281" s="85"/>
      <c r="E281" s="109" t="s">
        <v>0</v>
      </c>
      <c r="F281" s="110" t="s">
        <v>63</v>
      </c>
      <c r="G281" s="195" t="s">
        <v>7</v>
      </c>
      <c r="H281" s="69">
        <v>718931</v>
      </c>
      <c r="I281" s="69">
        <v>724460</v>
      </c>
      <c r="J281" s="69">
        <v>746857</v>
      </c>
      <c r="K281" s="69">
        <v>751090</v>
      </c>
      <c r="L281" s="69">
        <v>745388</v>
      </c>
      <c r="M281" s="69">
        <v>711883</v>
      </c>
      <c r="N281" s="69">
        <v>676378</v>
      </c>
      <c r="O281" s="69">
        <v>675729</v>
      </c>
      <c r="P281" s="69">
        <v>636217</v>
      </c>
      <c r="R281" s="195" t="s">
        <v>7</v>
      </c>
      <c r="S281" s="226">
        <v>0.9</v>
      </c>
      <c r="T281" s="226">
        <v>0.8</v>
      </c>
      <c r="U281" s="226">
        <v>0.8</v>
      </c>
      <c r="V281" s="226">
        <v>0.9</v>
      </c>
      <c r="W281" s="226">
        <v>1.3</v>
      </c>
      <c r="X281" s="226">
        <v>1.1000000000000001</v>
      </c>
      <c r="Y281" s="226">
        <v>1.1000000000000001</v>
      </c>
      <c r="Z281" s="226">
        <v>1.2</v>
      </c>
      <c r="AA281" s="226">
        <v>1.2</v>
      </c>
      <c r="AC281" s="195" t="s">
        <v>7</v>
      </c>
      <c r="AD281" s="69">
        <f>2*(H281*S281/100)</f>
        <v>12940.758</v>
      </c>
      <c r="AE281" s="69">
        <f t="shared" ref="AE281:AL313" si="269">2*(I281*T281/100)</f>
        <v>11591.36</v>
      </c>
      <c r="AF281" s="69">
        <f t="shared" si="269"/>
        <v>11949.712</v>
      </c>
      <c r="AG281" s="69">
        <f t="shared" si="269"/>
        <v>13519.62</v>
      </c>
      <c r="AH281" s="69">
        <f t="shared" si="269"/>
        <v>19380.088</v>
      </c>
      <c r="AI281" s="69">
        <f t="shared" si="269"/>
        <v>15661.426000000001</v>
      </c>
      <c r="AJ281" s="69">
        <f t="shared" si="269"/>
        <v>14880.316000000001</v>
      </c>
      <c r="AK281" s="69">
        <f>2*(O281*Z281/100)</f>
        <v>16217.495999999999</v>
      </c>
      <c r="AL281" s="69">
        <f>2*(P281*AA281/100)</f>
        <v>15269.208000000001</v>
      </c>
      <c r="AN281" s="195" t="s">
        <v>7</v>
      </c>
      <c r="AO281" s="98">
        <f t="shared" ref="AO281:AW281" si="270">H281/H281</f>
        <v>1</v>
      </c>
      <c r="AP281" s="98">
        <f t="shared" si="270"/>
        <v>1</v>
      </c>
      <c r="AQ281" s="98">
        <f t="shared" si="270"/>
        <v>1</v>
      </c>
      <c r="AR281" s="98">
        <f t="shared" si="270"/>
        <v>1</v>
      </c>
      <c r="AS281" s="98">
        <f t="shared" si="270"/>
        <v>1</v>
      </c>
      <c r="AT281" s="98">
        <f t="shared" si="270"/>
        <v>1</v>
      </c>
      <c r="AU281" s="98">
        <f t="shared" si="270"/>
        <v>1</v>
      </c>
      <c r="AV281" s="98">
        <f t="shared" si="270"/>
        <v>1</v>
      </c>
      <c r="AW281" s="98">
        <f t="shared" si="270"/>
        <v>1</v>
      </c>
      <c r="AX281" s="191"/>
      <c r="AY281" s="195" t="s">
        <v>7</v>
      </c>
      <c r="AZ281" s="178">
        <f t="shared" ref="AZ281:BH309" si="271">2*(S281*AO281/100)</f>
        <v>1.8000000000000002E-2</v>
      </c>
      <c r="BA281" s="178">
        <f t="shared" si="271"/>
        <v>1.6E-2</v>
      </c>
      <c r="BB281" s="178">
        <f t="shared" si="271"/>
        <v>1.6E-2</v>
      </c>
      <c r="BC281" s="178">
        <f t="shared" si="271"/>
        <v>1.8000000000000002E-2</v>
      </c>
      <c r="BD281" s="178">
        <f t="shared" si="271"/>
        <v>2.6000000000000002E-2</v>
      </c>
      <c r="BE281" s="178">
        <f t="shared" si="271"/>
        <v>2.2000000000000002E-2</v>
      </c>
      <c r="BF281" s="178">
        <f t="shared" si="271"/>
        <v>2.2000000000000002E-2</v>
      </c>
      <c r="BG281" s="178">
        <f t="shared" si="271"/>
        <v>2.4E-2</v>
      </c>
      <c r="BH281" s="178">
        <f t="shared" si="271"/>
        <v>2.4E-2</v>
      </c>
      <c r="BI281" s="191"/>
      <c r="BJ281" s="191"/>
      <c r="BK281" s="191"/>
      <c r="BL281" s="191"/>
      <c r="BM281" s="191"/>
      <c r="BN281" s="191"/>
      <c r="BO281" s="191"/>
      <c r="BP281" s="191"/>
    </row>
    <row r="282" spans="2:68" s="108" customFormat="1" x14ac:dyDescent="0.25">
      <c r="B282" s="107"/>
      <c r="E282" s="109" t="s">
        <v>0</v>
      </c>
      <c r="F282" s="110" t="s">
        <v>63</v>
      </c>
      <c r="G282" s="111" t="s">
        <v>54</v>
      </c>
      <c r="H282" s="112">
        <v>191119</v>
      </c>
      <c r="I282" s="112">
        <v>145270</v>
      </c>
      <c r="J282" s="112">
        <v>124292</v>
      </c>
      <c r="K282" s="112">
        <v>115844</v>
      </c>
      <c r="L282" s="112">
        <v>115313</v>
      </c>
      <c r="M282" s="112">
        <v>101114</v>
      </c>
      <c r="N282" s="112">
        <v>76450</v>
      </c>
      <c r="O282" s="112">
        <v>56179</v>
      </c>
      <c r="P282" s="112">
        <v>52429</v>
      </c>
      <c r="R282" s="111" t="s">
        <v>54</v>
      </c>
      <c r="S282" s="220">
        <v>5.4</v>
      </c>
      <c r="T282" s="220">
        <v>6.6</v>
      </c>
      <c r="U282" s="220">
        <v>6.4</v>
      </c>
      <c r="V282" s="220">
        <v>7</v>
      </c>
      <c r="W282" s="220">
        <v>8.5</v>
      </c>
      <c r="X282" s="220">
        <v>8.6</v>
      </c>
      <c r="Y282" s="220">
        <v>10.5</v>
      </c>
      <c r="Z282" s="220">
        <v>11.3</v>
      </c>
      <c r="AA282" s="220">
        <v>11.5</v>
      </c>
      <c r="AC282" s="111" t="s">
        <v>54</v>
      </c>
      <c r="AD282" s="112">
        <f>2*(H282*S282/100)</f>
        <v>20640.852000000003</v>
      </c>
      <c r="AE282" s="112">
        <f t="shared" si="269"/>
        <v>19175.64</v>
      </c>
      <c r="AF282" s="112">
        <f t="shared" si="269"/>
        <v>15909.376</v>
      </c>
      <c r="AG282" s="112">
        <f t="shared" si="269"/>
        <v>16218.16</v>
      </c>
      <c r="AH282" s="112">
        <f t="shared" si="269"/>
        <v>19603.21</v>
      </c>
      <c r="AI282" s="112">
        <f t="shared" si="269"/>
        <v>17391.607999999997</v>
      </c>
      <c r="AJ282" s="112">
        <f t="shared" si="269"/>
        <v>16054.5</v>
      </c>
      <c r="AK282" s="112">
        <f t="shared" si="269"/>
        <v>12696.454000000002</v>
      </c>
      <c r="AL282" s="112">
        <f t="shared" si="269"/>
        <v>12058.67</v>
      </c>
      <c r="AN282" s="111" t="s">
        <v>54</v>
      </c>
      <c r="AO282" s="113">
        <f t="shared" ref="AO282:AW282" si="272">H282/H281</f>
        <v>0.26583775077163174</v>
      </c>
      <c r="AP282" s="113">
        <f t="shared" si="272"/>
        <v>0.20052176793749826</v>
      </c>
      <c r="AQ282" s="113">
        <f t="shared" si="272"/>
        <v>0.16642007773911205</v>
      </c>
      <c r="AR282" s="113">
        <f t="shared" si="272"/>
        <v>0.15423451250848766</v>
      </c>
      <c r="AS282" s="113">
        <f t="shared" si="272"/>
        <v>0.15470198071340027</v>
      </c>
      <c r="AT282" s="113">
        <f t="shared" si="272"/>
        <v>0.14203738535686342</v>
      </c>
      <c r="AU282" s="113">
        <f t="shared" si="272"/>
        <v>0.11302851364178018</v>
      </c>
      <c r="AV282" s="113">
        <f t="shared" si="272"/>
        <v>8.3138358720729763E-2</v>
      </c>
      <c r="AW282" s="113">
        <f t="shared" si="272"/>
        <v>8.2407417594940094E-2</v>
      </c>
      <c r="AY282" s="111" t="s">
        <v>54</v>
      </c>
      <c r="AZ282" s="179">
        <f t="shared" si="271"/>
        <v>2.8710477083336232E-2</v>
      </c>
      <c r="BA282" s="179">
        <f t="shared" si="271"/>
        <v>2.6468873367749769E-2</v>
      </c>
      <c r="BB282" s="179">
        <f t="shared" si="271"/>
        <v>2.1301769950606345E-2</v>
      </c>
      <c r="BC282" s="179">
        <f t="shared" si="271"/>
        <v>2.1592831751188271E-2</v>
      </c>
      <c r="BD282" s="179">
        <f t="shared" si="271"/>
        <v>2.6299336721278047E-2</v>
      </c>
      <c r="BE282" s="179">
        <f t="shared" si="271"/>
        <v>2.4430430281380509E-2</v>
      </c>
      <c r="BF282" s="179">
        <f t="shared" si="271"/>
        <v>2.3735987864773839E-2</v>
      </c>
      <c r="BG282" s="179">
        <f t="shared" si="271"/>
        <v>1.8789269070884927E-2</v>
      </c>
      <c r="BH282" s="179">
        <f t="shared" si="271"/>
        <v>1.895370604683622E-2</v>
      </c>
    </row>
    <row r="283" spans="2:68" s="108" customFormat="1" x14ac:dyDescent="0.25">
      <c r="B283" s="107"/>
      <c r="E283" s="109" t="s">
        <v>0</v>
      </c>
      <c r="F283" s="110" t="s">
        <v>63</v>
      </c>
      <c r="G283" s="111" t="s">
        <v>55</v>
      </c>
      <c r="H283" s="70">
        <v>28102</v>
      </c>
      <c r="I283" s="70">
        <v>21657</v>
      </c>
      <c r="J283" s="112">
        <v>20888</v>
      </c>
      <c r="K283" s="112">
        <v>24739</v>
      </c>
      <c r="L283" s="112">
        <v>13437</v>
      </c>
      <c r="M283" s="112">
        <v>15743</v>
      </c>
      <c r="N283" s="112">
        <v>11971</v>
      </c>
      <c r="O283" s="112" t="s">
        <v>129</v>
      </c>
      <c r="P283" s="112" t="s">
        <v>129</v>
      </c>
      <c r="R283" s="111" t="s">
        <v>55</v>
      </c>
      <c r="S283" s="81">
        <v>15.2</v>
      </c>
      <c r="T283" s="81">
        <v>17.899999999999999</v>
      </c>
      <c r="U283" s="81">
        <v>15.8</v>
      </c>
      <c r="V283" s="81">
        <v>16.600000000000001</v>
      </c>
      <c r="W283" s="81">
        <v>24.6</v>
      </c>
      <c r="X283" s="81">
        <v>23.9</v>
      </c>
      <c r="Y283" s="81">
        <v>27.6</v>
      </c>
      <c r="Z283" s="81"/>
      <c r="AA283" s="81"/>
      <c r="AC283" s="111" t="s">
        <v>55</v>
      </c>
      <c r="AD283" s="70">
        <f t="shared" ref="AD283:AE320" si="273">2*(H283*S283/100)</f>
        <v>8543.0079999999998</v>
      </c>
      <c r="AE283" s="70">
        <f t="shared" si="269"/>
        <v>7753.2060000000001</v>
      </c>
      <c r="AF283" s="70">
        <f t="shared" si="269"/>
        <v>6600.6080000000002</v>
      </c>
      <c r="AG283" s="70">
        <f t="shared" si="269"/>
        <v>8213.348</v>
      </c>
      <c r="AH283" s="70">
        <f t="shared" si="269"/>
        <v>6611.0039999999999</v>
      </c>
      <c r="AI283" s="70">
        <f t="shared" si="269"/>
        <v>7525.1539999999986</v>
      </c>
      <c r="AJ283" s="70">
        <f t="shared" si="269"/>
        <v>6607.9920000000011</v>
      </c>
      <c r="AK283" s="70" t="e">
        <f t="shared" si="269"/>
        <v>#VALUE!</v>
      </c>
      <c r="AL283" s="70" t="e">
        <f t="shared" si="269"/>
        <v>#VALUE!</v>
      </c>
      <c r="AN283" s="111" t="s">
        <v>55</v>
      </c>
      <c r="AO283" s="113">
        <f t="shared" ref="AO283:AW283" si="274">H283/H281</f>
        <v>3.908859125562815E-2</v>
      </c>
      <c r="AP283" s="113">
        <f t="shared" si="274"/>
        <v>2.9893990006349559E-2</v>
      </c>
      <c r="AQ283" s="113">
        <f t="shared" si="274"/>
        <v>2.7967870690105336E-2</v>
      </c>
      <c r="AR283" s="113">
        <f t="shared" si="274"/>
        <v>3.2937464218668867E-2</v>
      </c>
      <c r="AS283" s="113">
        <f t="shared" si="274"/>
        <v>1.8026853128840281E-2</v>
      </c>
      <c r="AT283" s="113">
        <f t="shared" si="274"/>
        <v>2.2114589054662074E-2</v>
      </c>
      <c r="AU283" s="113">
        <f t="shared" si="274"/>
        <v>1.7698683280650759E-2</v>
      </c>
      <c r="AV283" s="113" t="e">
        <f t="shared" si="274"/>
        <v>#VALUE!</v>
      </c>
      <c r="AW283" s="113" t="e">
        <f t="shared" si="274"/>
        <v>#VALUE!</v>
      </c>
      <c r="AY283" s="111" t="s">
        <v>55</v>
      </c>
      <c r="AZ283" s="179">
        <f t="shared" si="271"/>
        <v>1.1882931741710956E-2</v>
      </c>
      <c r="BA283" s="179">
        <f t="shared" si="271"/>
        <v>1.0702048422273141E-2</v>
      </c>
      <c r="BB283" s="179">
        <f t="shared" si="271"/>
        <v>8.8378471380732865E-3</v>
      </c>
      <c r="BC283" s="179">
        <f t="shared" si="271"/>
        <v>1.0935238120598066E-2</v>
      </c>
      <c r="BD283" s="179">
        <f t="shared" si="271"/>
        <v>8.8692117393894196E-3</v>
      </c>
      <c r="BE283" s="179">
        <f t="shared" si="271"/>
        <v>1.0570773568128472E-2</v>
      </c>
      <c r="BF283" s="179">
        <f t="shared" si="271"/>
        <v>9.7696731709192193E-3</v>
      </c>
      <c r="BG283" s="179" t="e">
        <f t="shared" si="271"/>
        <v>#VALUE!</v>
      </c>
      <c r="BH283" s="179" t="e">
        <f t="shared" si="271"/>
        <v>#VALUE!</v>
      </c>
    </row>
    <row r="284" spans="2:68" s="108" customFormat="1" x14ac:dyDescent="0.25">
      <c r="B284" s="107"/>
      <c r="E284" s="109" t="s">
        <v>0</v>
      </c>
      <c r="F284" s="110" t="s">
        <v>63</v>
      </c>
      <c r="G284" s="111" t="s">
        <v>130</v>
      </c>
      <c r="H284" s="70">
        <v>89046</v>
      </c>
      <c r="I284" s="70">
        <v>102194</v>
      </c>
      <c r="J284" s="70">
        <v>103312</v>
      </c>
      <c r="K284" s="70">
        <v>69598</v>
      </c>
      <c r="L284" s="70">
        <v>68608</v>
      </c>
      <c r="M284" s="70">
        <v>69374</v>
      </c>
      <c r="N284" s="70">
        <v>62568</v>
      </c>
      <c r="O284" s="112">
        <v>56278</v>
      </c>
      <c r="P284" s="112">
        <v>34889</v>
      </c>
      <c r="R284" s="111" t="s">
        <v>130</v>
      </c>
      <c r="S284" s="220">
        <v>7.9</v>
      </c>
      <c r="T284" s="220">
        <v>7.8</v>
      </c>
      <c r="U284" s="220">
        <v>6.6</v>
      </c>
      <c r="V284" s="220">
        <v>9.9</v>
      </c>
      <c r="W284" s="220">
        <v>10.8</v>
      </c>
      <c r="X284" s="220">
        <v>11.4</v>
      </c>
      <c r="Y284" s="220">
        <v>11.7</v>
      </c>
      <c r="Z284" s="220">
        <v>11.3</v>
      </c>
      <c r="AA284" s="220">
        <v>14.8</v>
      </c>
      <c r="AC284" s="111" t="s">
        <v>130</v>
      </c>
      <c r="AD284" s="70">
        <f t="shared" si="273"/>
        <v>14069.268</v>
      </c>
      <c r="AE284" s="70">
        <f t="shared" si="269"/>
        <v>15942.263999999999</v>
      </c>
      <c r="AF284" s="70">
        <f t="shared" si="269"/>
        <v>13637.183999999999</v>
      </c>
      <c r="AG284" s="70">
        <f t="shared" si="269"/>
        <v>13780.404000000002</v>
      </c>
      <c r="AH284" s="70">
        <f t="shared" si="269"/>
        <v>14819.328000000001</v>
      </c>
      <c r="AI284" s="70">
        <f t="shared" si="269"/>
        <v>15817.271999999999</v>
      </c>
      <c r="AJ284" s="70">
        <f t="shared" si="269"/>
        <v>14640.912</v>
      </c>
      <c r="AK284" s="70">
        <f t="shared" si="269"/>
        <v>12718.828000000001</v>
      </c>
      <c r="AL284" s="70">
        <f t="shared" si="269"/>
        <v>10327.144</v>
      </c>
      <c r="AN284" s="111" t="s">
        <v>130</v>
      </c>
      <c r="AO284" s="113">
        <f t="shared" ref="AO284:AW284" si="275">H284/H281</f>
        <v>0.12385889605539335</v>
      </c>
      <c r="AP284" s="113">
        <f t="shared" si="275"/>
        <v>0.14106230847803883</v>
      </c>
      <c r="AQ284" s="113">
        <f t="shared" si="275"/>
        <v>0.13832902416392964</v>
      </c>
      <c r="AR284" s="113">
        <f t="shared" si="275"/>
        <v>9.2662663595574429E-2</v>
      </c>
      <c r="AS284" s="113">
        <f t="shared" si="275"/>
        <v>9.2043338502900501E-2</v>
      </c>
      <c r="AT284" s="113">
        <f t="shared" si="275"/>
        <v>9.7451407043011279E-2</v>
      </c>
      <c r="AU284" s="113">
        <f t="shared" si="275"/>
        <v>9.2504487135891475E-2</v>
      </c>
      <c r="AV284" s="113">
        <f t="shared" si="275"/>
        <v>8.3284867158283871E-2</v>
      </c>
      <c r="AW284" s="113">
        <f t="shared" si="275"/>
        <v>5.4838207718435693E-2</v>
      </c>
      <c r="AY284" s="111" t="s">
        <v>130</v>
      </c>
      <c r="AZ284" s="179">
        <f t="shared" si="271"/>
        <v>1.9569705576752149E-2</v>
      </c>
      <c r="BA284" s="179">
        <f t="shared" si="271"/>
        <v>2.2005720122574055E-2</v>
      </c>
      <c r="BB284" s="179">
        <f t="shared" si="271"/>
        <v>1.8259431189638714E-2</v>
      </c>
      <c r="BC284" s="179">
        <f t="shared" si="271"/>
        <v>1.8347207391923737E-2</v>
      </c>
      <c r="BD284" s="179">
        <f t="shared" si="271"/>
        <v>1.9881361116626511E-2</v>
      </c>
      <c r="BE284" s="179">
        <f t="shared" si="271"/>
        <v>2.2218920805806574E-2</v>
      </c>
      <c r="BF284" s="179">
        <f t="shared" si="271"/>
        <v>2.1646049989798605E-2</v>
      </c>
      <c r="BG284" s="179">
        <f t="shared" si="271"/>
        <v>1.8822379977772155E-2</v>
      </c>
      <c r="BH284" s="179">
        <f t="shared" si="271"/>
        <v>1.6232109484656965E-2</v>
      </c>
    </row>
    <row r="285" spans="2:68" s="108" customFormat="1" x14ac:dyDescent="0.25">
      <c r="B285" s="107"/>
      <c r="E285" s="109" t="s">
        <v>0</v>
      </c>
      <c r="F285" s="110" t="s">
        <v>63</v>
      </c>
      <c r="G285" s="111" t="s">
        <v>131</v>
      </c>
      <c r="H285" s="112">
        <v>410599</v>
      </c>
      <c r="I285" s="112">
        <v>455338</v>
      </c>
      <c r="J285" s="112">
        <v>498365</v>
      </c>
      <c r="K285" s="112">
        <v>540908</v>
      </c>
      <c r="L285" s="112">
        <v>548030</v>
      </c>
      <c r="M285" s="112">
        <v>525653</v>
      </c>
      <c r="N285" s="112">
        <v>525389</v>
      </c>
      <c r="O285" s="112">
        <v>555216</v>
      </c>
      <c r="P285" s="112">
        <v>544004</v>
      </c>
      <c r="R285" s="111" t="s">
        <v>131</v>
      </c>
      <c r="S285" s="220">
        <v>2.7</v>
      </c>
      <c r="T285" s="220">
        <v>2.9</v>
      </c>
      <c r="U285" s="220">
        <v>2.4</v>
      </c>
      <c r="V285" s="220">
        <v>1.6</v>
      </c>
      <c r="W285" s="220">
        <v>2.2000000000000002</v>
      </c>
      <c r="X285" s="220">
        <v>1.9</v>
      </c>
      <c r="Y285" s="220">
        <v>1.9</v>
      </c>
      <c r="Z285" s="220">
        <v>1.2</v>
      </c>
      <c r="AA285" s="220">
        <v>1.2</v>
      </c>
      <c r="AC285" s="111" t="s">
        <v>131</v>
      </c>
      <c r="AD285" s="112">
        <f t="shared" si="273"/>
        <v>22172.346000000001</v>
      </c>
      <c r="AE285" s="112">
        <f t="shared" si="269"/>
        <v>26409.603999999999</v>
      </c>
      <c r="AF285" s="112">
        <f t="shared" si="269"/>
        <v>23921.52</v>
      </c>
      <c r="AG285" s="112">
        <f t="shared" si="269"/>
        <v>17309.056</v>
      </c>
      <c r="AH285" s="112">
        <f t="shared" si="269"/>
        <v>24113.32</v>
      </c>
      <c r="AI285" s="112">
        <f t="shared" si="269"/>
        <v>19974.813999999998</v>
      </c>
      <c r="AJ285" s="112">
        <f t="shared" si="269"/>
        <v>19964.781999999999</v>
      </c>
      <c r="AK285" s="112">
        <f t="shared" si="269"/>
        <v>13325.183999999999</v>
      </c>
      <c r="AL285" s="112">
        <f t="shared" si="269"/>
        <v>13056.095999999998</v>
      </c>
      <c r="AN285" s="111" t="s">
        <v>131</v>
      </c>
      <c r="AO285" s="113">
        <f t="shared" ref="AO285:AW285" si="276">H285/H281</f>
        <v>0.57112434990284189</v>
      </c>
      <c r="AP285" s="113">
        <f t="shared" si="276"/>
        <v>0.62852055323965439</v>
      </c>
      <c r="AQ285" s="113">
        <f t="shared" si="276"/>
        <v>0.66728302740685297</v>
      </c>
      <c r="AR285" s="113">
        <f t="shared" si="276"/>
        <v>0.72016402827890136</v>
      </c>
      <c r="AS285" s="113">
        <f t="shared" si="276"/>
        <v>0.73522782765485895</v>
      </c>
      <c r="AT285" s="113">
        <f t="shared" si="276"/>
        <v>0.73839802327067794</v>
      </c>
      <c r="AU285" s="113">
        <f t="shared" si="276"/>
        <v>0.77676831594167761</v>
      </c>
      <c r="AV285" s="113">
        <f t="shared" si="276"/>
        <v>0.8216548350004218</v>
      </c>
      <c r="AW285" s="113">
        <f t="shared" si="276"/>
        <v>0.85506045893146521</v>
      </c>
      <c r="AY285" s="111" t="s">
        <v>131</v>
      </c>
      <c r="AZ285" s="179">
        <f t="shared" si="271"/>
        <v>3.0840714894753464E-2</v>
      </c>
      <c r="BA285" s="179">
        <f t="shared" si="271"/>
        <v>3.6454192087899955E-2</v>
      </c>
      <c r="BB285" s="179">
        <f t="shared" si="271"/>
        <v>3.2029585315528943E-2</v>
      </c>
      <c r="BC285" s="179">
        <f t="shared" si="271"/>
        <v>2.3045248904924844E-2</v>
      </c>
      <c r="BD285" s="179">
        <f t="shared" si="271"/>
        <v>3.2350024416813797E-2</v>
      </c>
      <c r="BE285" s="179">
        <f t="shared" si="271"/>
        <v>2.805912488428576E-2</v>
      </c>
      <c r="BF285" s="179">
        <f t="shared" si="271"/>
        <v>2.9517196005783747E-2</v>
      </c>
      <c r="BG285" s="179">
        <f t="shared" si="271"/>
        <v>1.9719716040010122E-2</v>
      </c>
      <c r="BH285" s="179">
        <f t="shared" si="271"/>
        <v>2.0521451014355162E-2</v>
      </c>
    </row>
    <row r="286" spans="2:68" s="87" customFormat="1" x14ac:dyDescent="0.25">
      <c r="B286" s="84"/>
      <c r="C286" s="85"/>
      <c r="D286" s="85"/>
      <c r="E286" s="109" t="s">
        <v>1</v>
      </c>
      <c r="F286" s="110" t="s">
        <v>63</v>
      </c>
      <c r="G286" s="195" t="s">
        <v>7</v>
      </c>
      <c r="H286" s="69">
        <v>973543</v>
      </c>
      <c r="I286" s="69">
        <v>996413</v>
      </c>
      <c r="J286" s="69">
        <v>1014542</v>
      </c>
      <c r="K286" s="69">
        <v>999540</v>
      </c>
      <c r="L286" s="69">
        <v>999163</v>
      </c>
      <c r="M286" s="69">
        <v>1018046</v>
      </c>
      <c r="N286" s="69">
        <v>1039529</v>
      </c>
      <c r="O286" s="69">
        <v>996093</v>
      </c>
      <c r="P286" s="69">
        <v>1007100</v>
      </c>
      <c r="R286" s="195" t="s">
        <v>7</v>
      </c>
      <c r="S286" s="226">
        <v>0.9</v>
      </c>
      <c r="T286" s="226">
        <v>0.8</v>
      </c>
      <c r="U286" s="226">
        <v>0.7</v>
      </c>
      <c r="V286" s="226">
        <v>0.9</v>
      </c>
      <c r="W286" s="226">
        <v>0.9</v>
      </c>
      <c r="X286" s="226">
        <v>0.9</v>
      </c>
      <c r="Y286" s="226">
        <v>0.9</v>
      </c>
      <c r="Z286" s="226">
        <v>0.7</v>
      </c>
      <c r="AA286" s="226">
        <v>0.8</v>
      </c>
      <c r="AC286" s="195" t="s">
        <v>7</v>
      </c>
      <c r="AD286" s="69">
        <f t="shared" si="273"/>
        <v>17523.774000000001</v>
      </c>
      <c r="AE286" s="69">
        <f t="shared" si="269"/>
        <v>15942.608</v>
      </c>
      <c r="AF286" s="69">
        <f t="shared" si="269"/>
        <v>14203.587999999998</v>
      </c>
      <c r="AG286" s="69">
        <f t="shared" si="269"/>
        <v>17991.72</v>
      </c>
      <c r="AH286" s="69">
        <f t="shared" si="269"/>
        <v>17984.934000000001</v>
      </c>
      <c r="AI286" s="69">
        <f t="shared" si="269"/>
        <v>18324.828000000001</v>
      </c>
      <c r="AJ286" s="69">
        <f t="shared" si="269"/>
        <v>18711.522000000001</v>
      </c>
      <c r="AK286" s="69">
        <f t="shared" si="269"/>
        <v>13945.302</v>
      </c>
      <c r="AL286" s="69">
        <f t="shared" si="269"/>
        <v>16113.6</v>
      </c>
      <c r="AN286" s="195" t="s">
        <v>7</v>
      </c>
      <c r="AO286" s="98">
        <f t="shared" ref="AO286:AW286" si="277">H286/H286</f>
        <v>1</v>
      </c>
      <c r="AP286" s="98">
        <f t="shared" si="277"/>
        <v>1</v>
      </c>
      <c r="AQ286" s="98">
        <f t="shared" si="277"/>
        <v>1</v>
      </c>
      <c r="AR286" s="98">
        <f t="shared" si="277"/>
        <v>1</v>
      </c>
      <c r="AS286" s="98">
        <f t="shared" si="277"/>
        <v>1</v>
      </c>
      <c r="AT286" s="98">
        <f t="shared" si="277"/>
        <v>1</v>
      </c>
      <c r="AU286" s="98">
        <f t="shared" si="277"/>
        <v>1</v>
      </c>
      <c r="AV286" s="98">
        <f t="shared" si="277"/>
        <v>1</v>
      </c>
      <c r="AW286" s="98">
        <f t="shared" si="277"/>
        <v>1</v>
      </c>
      <c r="AX286" s="191"/>
      <c r="AY286" s="195" t="s">
        <v>7</v>
      </c>
      <c r="AZ286" s="178">
        <f t="shared" si="271"/>
        <v>1.8000000000000002E-2</v>
      </c>
      <c r="BA286" s="178">
        <f t="shared" si="271"/>
        <v>1.6E-2</v>
      </c>
      <c r="BB286" s="178">
        <f t="shared" si="271"/>
        <v>1.3999999999999999E-2</v>
      </c>
      <c r="BC286" s="178">
        <f t="shared" si="271"/>
        <v>1.8000000000000002E-2</v>
      </c>
      <c r="BD286" s="178">
        <f t="shared" si="271"/>
        <v>1.8000000000000002E-2</v>
      </c>
      <c r="BE286" s="178">
        <f t="shared" si="271"/>
        <v>1.8000000000000002E-2</v>
      </c>
      <c r="BF286" s="178">
        <f t="shared" si="271"/>
        <v>1.8000000000000002E-2</v>
      </c>
      <c r="BG286" s="178">
        <f t="shared" si="271"/>
        <v>1.3999999999999999E-2</v>
      </c>
      <c r="BH286" s="178">
        <f t="shared" si="271"/>
        <v>1.6E-2</v>
      </c>
      <c r="BI286" s="191"/>
      <c r="BJ286" s="191"/>
      <c r="BK286" s="191"/>
      <c r="BL286" s="191"/>
      <c r="BM286" s="191"/>
      <c r="BN286" s="191"/>
      <c r="BO286" s="191"/>
      <c r="BP286" s="191"/>
    </row>
    <row r="287" spans="2:68" s="108" customFormat="1" x14ac:dyDescent="0.25">
      <c r="B287" s="107"/>
      <c r="E287" s="109" t="s">
        <v>1</v>
      </c>
      <c r="F287" s="110" t="s">
        <v>63</v>
      </c>
      <c r="G287" s="111" t="s">
        <v>54</v>
      </c>
      <c r="H287" s="112">
        <v>352289</v>
      </c>
      <c r="I287" s="112">
        <v>339579</v>
      </c>
      <c r="J287" s="112">
        <v>328000</v>
      </c>
      <c r="K287" s="112">
        <v>325044</v>
      </c>
      <c r="L287" s="112">
        <v>314031</v>
      </c>
      <c r="M287" s="112">
        <v>318170</v>
      </c>
      <c r="N287" s="112">
        <v>307975</v>
      </c>
      <c r="O287" s="112">
        <v>243389</v>
      </c>
      <c r="P287" s="112">
        <v>237568</v>
      </c>
      <c r="R287" s="111" t="s">
        <v>54</v>
      </c>
      <c r="S287" s="220">
        <v>3.3</v>
      </c>
      <c r="T287" s="220">
        <v>3.7</v>
      </c>
      <c r="U287" s="220">
        <v>3.5</v>
      </c>
      <c r="V287" s="220">
        <v>4</v>
      </c>
      <c r="W287" s="220">
        <v>4.3</v>
      </c>
      <c r="X287" s="220">
        <v>4.5</v>
      </c>
      <c r="Y287" s="220">
        <v>4.0999999999999996</v>
      </c>
      <c r="Z287" s="220">
        <v>5.4</v>
      </c>
      <c r="AA287" s="220">
        <v>5.3</v>
      </c>
      <c r="AC287" s="111" t="s">
        <v>54</v>
      </c>
      <c r="AD287" s="112">
        <f t="shared" si="273"/>
        <v>23251.074000000001</v>
      </c>
      <c r="AE287" s="112">
        <f t="shared" si="269"/>
        <v>25128.846000000001</v>
      </c>
      <c r="AF287" s="112">
        <f t="shared" si="269"/>
        <v>22960</v>
      </c>
      <c r="AG287" s="112">
        <f t="shared" si="269"/>
        <v>26003.52</v>
      </c>
      <c r="AH287" s="112">
        <f t="shared" si="269"/>
        <v>27006.666000000001</v>
      </c>
      <c r="AI287" s="112">
        <f t="shared" si="269"/>
        <v>28635.3</v>
      </c>
      <c r="AJ287" s="112">
        <f t="shared" si="269"/>
        <v>25253.95</v>
      </c>
      <c r="AK287" s="112">
        <f t="shared" si="269"/>
        <v>26286.012000000002</v>
      </c>
      <c r="AL287" s="112">
        <f t="shared" si="269"/>
        <v>25182.207999999999</v>
      </c>
      <c r="AN287" s="111" t="s">
        <v>54</v>
      </c>
      <c r="AO287" s="113">
        <f t="shared" ref="AO287:AW287" si="278">H287/H286</f>
        <v>0.36186280421101069</v>
      </c>
      <c r="AP287" s="113">
        <f t="shared" si="278"/>
        <v>0.34080145481843371</v>
      </c>
      <c r="AQ287" s="113">
        <f t="shared" si="278"/>
        <v>0.32329859187692572</v>
      </c>
      <c r="AR287" s="113">
        <f t="shared" si="278"/>
        <v>0.32519358905096346</v>
      </c>
      <c r="AS287" s="113">
        <f t="shared" si="278"/>
        <v>0.31429406413167821</v>
      </c>
      <c r="AT287" s="113">
        <f t="shared" si="278"/>
        <v>0.3125300821377423</v>
      </c>
      <c r="AU287" s="113">
        <f t="shared" si="278"/>
        <v>0.29626398109143659</v>
      </c>
      <c r="AV287" s="113">
        <f t="shared" si="278"/>
        <v>0.24434365064306243</v>
      </c>
      <c r="AW287" s="113">
        <f t="shared" si="278"/>
        <v>0.23589315857412371</v>
      </c>
      <c r="AY287" s="111" t="s">
        <v>54</v>
      </c>
      <c r="AZ287" s="179">
        <f t="shared" si="271"/>
        <v>2.3882945077926702E-2</v>
      </c>
      <c r="BA287" s="179">
        <f t="shared" si="271"/>
        <v>2.5219307656564095E-2</v>
      </c>
      <c r="BB287" s="179">
        <f t="shared" si="271"/>
        <v>2.2630901431384801E-2</v>
      </c>
      <c r="BC287" s="179">
        <f t="shared" si="271"/>
        <v>2.6015487124077075E-2</v>
      </c>
      <c r="BD287" s="179">
        <f t="shared" si="271"/>
        <v>2.7029289515324323E-2</v>
      </c>
      <c r="BE287" s="179">
        <f t="shared" si="271"/>
        <v>2.8127707392396804E-2</v>
      </c>
      <c r="BF287" s="179">
        <f t="shared" si="271"/>
        <v>2.4293646449497799E-2</v>
      </c>
      <c r="BG287" s="179">
        <f t="shared" si="271"/>
        <v>2.6389114269450745E-2</v>
      </c>
      <c r="BH287" s="179">
        <f t="shared" si="271"/>
        <v>2.5004674808857111E-2</v>
      </c>
    </row>
    <row r="288" spans="2:68" s="108" customFormat="1" x14ac:dyDescent="0.25">
      <c r="B288" s="107"/>
      <c r="E288" s="109" t="s">
        <v>1</v>
      </c>
      <c r="F288" s="110" t="s">
        <v>63</v>
      </c>
      <c r="G288" s="111" t="s">
        <v>55</v>
      </c>
      <c r="H288" s="70">
        <v>112054</v>
      </c>
      <c r="I288" s="70">
        <v>152672</v>
      </c>
      <c r="J288" s="70">
        <v>130382</v>
      </c>
      <c r="K288" s="70">
        <v>146075</v>
      </c>
      <c r="L288" s="70">
        <v>135486</v>
      </c>
      <c r="M288" s="70">
        <v>126117</v>
      </c>
      <c r="N288" s="70">
        <v>105370</v>
      </c>
      <c r="O288" s="112">
        <v>87935</v>
      </c>
      <c r="P288" s="112">
        <v>103331</v>
      </c>
      <c r="R288" s="111" t="s">
        <v>55</v>
      </c>
      <c r="S288" s="81">
        <v>7.3</v>
      </c>
      <c r="T288" s="81">
        <v>6.2</v>
      </c>
      <c r="U288" s="81">
        <v>5.9</v>
      </c>
      <c r="V288" s="81">
        <v>6.8</v>
      </c>
      <c r="W288" s="81">
        <v>7.6</v>
      </c>
      <c r="X288" s="81">
        <v>7.9</v>
      </c>
      <c r="Y288" s="81">
        <v>8.8000000000000007</v>
      </c>
      <c r="Z288" s="81">
        <v>9.1</v>
      </c>
      <c r="AA288" s="81">
        <v>7.9</v>
      </c>
      <c r="AC288" s="111" t="s">
        <v>55</v>
      </c>
      <c r="AD288" s="70">
        <f t="shared" si="273"/>
        <v>16359.883999999998</v>
      </c>
      <c r="AE288" s="70">
        <f t="shared" si="269"/>
        <v>18931.328000000001</v>
      </c>
      <c r="AF288" s="70">
        <f t="shared" si="269"/>
        <v>15385.076000000001</v>
      </c>
      <c r="AG288" s="70">
        <f t="shared" si="269"/>
        <v>19866.2</v>
      </c>
      <c r="AH288" s="70">
        <f t="shared" si="269"/>
        <v>20593.871999999999</v>
      </c>
      <c r="AI288" s="70">
        <f t="shared" si="269"/>
        <v>19926.486000000001</v>
      </c>
      <c r="AJ288" s="70">
        <f t="shared" si="269"/>
        <v>18545.120000000003</v>
      </c>
      <c r="AK288" s="70">
        <f t="shared" si="269"/>
        <v>16004.17</v>
      </c>
      <c r="AL288" s="70">
        <f t="shared" si="269"/>
        <v>16326.298000000001</v>
      </c>
      <c r="AN288" s="111" t="s">
        <v>55</v>
      </c>
      <c r="AO288" s="113">
        <f t="shared" ref="AO288:AW288" si="279">H288/H286</f>
        <v>0.11509917897822695</v>
      </c>
      <c r="AP288" s="113">
        <f t="shared" si="279"/>
        <v>0.1532216059003646</v>
      </c>
      <c r="AQ288" s="113">
        <f t="shared" si="279"/>
        <v>0.12851316160395529</v>
      </c>
      <c r="AR288" s="113">
        <f t="shared" si="279"/>
        <v>0.1461422254236949</v>
      </c>
      <c r="AS288" s="113">
        <f t="shared" si="279"/>
        <v>0.13559949677880387</v>
      </c>
      <c r="AT288" s="113">
        <f t="shared" si="279"/>
        <v>0.12388143561292908</v>
      </c>
      <c r="AU288" s="113">
        <f t="shared" si="279"/>
        <v>0.10136321353228241</v>
      </c>
      <c r="AV288" s="113">
        <f t="shared" si="279"/>
        <v>8.8279909606833906E-2</v>
      </c>
      <c r="AW288" s="113">
        <f t="shared" si="279"/>
        <v>0.10260252209313872</v>
      </c>
      <c r="AY288" s="111" t="s">
        <v>55</v>
      </c>
      <c r="AZ288" s="179">
        <f t="shared" si="271"/>
        <v>1.6804480130821135E-2</v>
      </c>
      <c r="BA288" s="179">
        <f t="shared" si="271"/>
        <v>1.8999479131645212E-2</v>
      </c>
      <c r="BB288" s="179">
        <f t="shared" si="271"/>
        <v>1.5164553069266723E-2</v>
      </c>
      <c r="BC288" s="179">
        <f t="shared" si="271"/>
        <v>1.9875342657622506E-2</v>
      </c>
      <c r="BD288" s="179">
        <f t="shared" si="271"/>
        <v>2.061112351037819E-2</v>
      </c>
      <c r="BE288" s="179">
        <f t="shared" si="271"/>
        <v>1.9573266826842795E-2</v>
      </c>
      <c r="BF288" s="179">
        <f t="shared" si="271"/>
        <v>1.7839925581681706E-2</v>
      </c>
      <c r="BG288" s="179">
        <f t="shared" si="271"/>
        <v>1.606694354844377E-2</v>
      </c>
      <c r="BH288" s="179">
        <f t="shared" si="271"/>
        <v>1.6211198490715919E-2</v>
      </c>
    </row>
    <row r="289" spans="2:68" s="108" customFormat="1" x14ac:dyDescent="0.25">
      <c r="B289" s="107"/>
      <c r="E289" s="109" t="s">
        <v>1</v>
      </c>
      <c r="F289" s="110" t="s">
        <v>63</v>
      </c>
      <c r="G289" s="111" t="s">
        <v>130</v>
      </c>
      <c r="H289" s="70">
        <v>133929</v>
      </c>
      <c r="I289" s="70">
        <v>145835</v>
      </c>
      <c r="J289" s="70">
        <v>170819</v>
      </c>
      <c r="K289" s="70">
        <v>156356</v>
      </c>
      <c r="L289" s="70">
        <v>137109</v>
      </c>
      <c r="M289" s="70">
        <v>121066</v>
      </c>
      <c r="N289" s="70">
        <v>152875</v>
      </c>
      <c r="O289" s="112">
        <v>172604</v>
      </c>
      <c r="P289" s="112">
        <v>156873</v>
      </c>
      <c r="R289" s="111" t="s">
        <v>130</v>
      </c>
      <c r="S289" s="220">
        <v>6.5</v>
      </c>
      <c r="T289" s="220">
        <v>6.8</v>
      </c>
      <c r="U289" s="220">
        <v>5.4</v>
      </c>
      <c r="V289" s="220">
        <v>6.2</v>
      </c>
      <c r="W289" s="220">
        <v>7.6</v>
      </c>
      <c r="X289" s="220">
        <v>8.9</v>
      </c>
      <c r="Y289" s="220">
        <v>7</v>
      </c>
      <c r="Z289" s="220">
        <v>6.5</v>
      </c>
      <c r="AA289" s="220">
        <v>6.3</v>
      </c>
      <c r="AC289" s="111" t="s">
        <v>130</v>
      </c>
      <c r="AD289" s="70">
        <f t="shared" si="273"/>
        <v>17410.77</v>
      </c>
      <c r="AE289" s="70">
        <f t="shared" si="269"/>
        <v>19833.560000000001</v>
      </c>
      <c r="AF289" s="70">
        <f t="shared" si="269"/>
        <v>18448.452000000001</v>
      </c>
      <c r="AG289" s="70">
        <f t="shared" si="269"/>
        <v>19388.144</v>
      </c>
      <c r="AH289" s="70">
        <f t="shared" si="269"/>
        <v>20840.567999999999</v>
      </c>
      <c r="AI289" s="70">
        <f t="shared" si="269"/>
        <v>21549.748000000003</v>
      </c>
      <c r="AJ289" s="70">
        <f t="shared" si="269"/>
        <v>21402.5</v>
      </c>
      <c r="AK289" s="70">
        <f t="shared" si="269"/>
        <v>22438.52</v>
      </c>
      <c r="AL289" s="70">
        <f t="shared" si="269"/>
        <v>19765.998</v>
      </c>
      <c r="AN289" s="111" t="s">
        <v>130</v>
      </c>
      <c r="AO289" s="113">
        <f t="shared" ref="AO289:AW289" si="280">H289/H286</f>
        <v>0.13756865387558639</v>
      </c>
      <c r="AP289" s="113">
        <f t="shared" si="280"/>
        <v>0.14635999329595259</v>
      </c>
      <c r="AQ289" s="113">
        <f t="shared" si="280"/>
        <v>0.16837055538361151</v>
      </c>
      <c r="AR289" s="113">
        <f t="shared" si="280"/>
        <v>0.15642795686015568</v>
      </c>
      <c r="AS289" s="113">
        <f t="shared" si="280"/>
        <v>0.13722385636777984</v>
      </c>
      <c r="AT289" s="113">
        <f t="shared" si="280"/>
        <v>0.11891997021745579</v>
      </c>
      <c r="AU289" s="113">
        <f t="shared" si="280"/>
        <v>0.14706179433185607</v>
      </c>
      <c r="AV289" s="113">
        <f t="shared" si="280"/>
        <v>0.17328100890177925</v>
      </c>
      <c r="AW289" s="113">
        <f t="shared" si="280"/>
        <v>0.15576705391718795</v>
      </c>
      <c r="AY289" s="111" t="s">
        <v>130</v>
      </c>
      <c r="AZ289" s="179">
        <f t="shared" si="271"/>
        <v>1.7883925003826229E-2</v>
      </c>
      <c r="BA289" s="179">
        <f t="shared" si="271"/>
        <v>1.9904959088249553E-2</v>
      </c>
      <c r="BB289" s="179">
        <f t="shared" si="271"/>
        <v>1.8184019981430044E-2</v>
      </c>
      <c r="BC289" s="179">
        <f t="shared" si="271"/>
        <v>1.9397066650659305E-2</v>
      </c>
      <c r="BD289" s="179">
        <f t="shared" si="271"/>
        <v>2.0858026167902534E-2</v>
      </c>
      <c r="BE289" s="179">
        <f t="shared" si="271"/>
        <v>2.1167754698707131E-2</v>
      </c>
      <c r="BF289" s="179">
        <f t="shared" si="271"/>
        <v>2.0588651206459849E-2</v>
      </c>
      <c r="BG289" s="179">
        <f t="shared" si="271"/>
        <v>2.2526531157231303E-2</v>
      </c>
      <c r="BH289" s="179">
        <f t="shared" si="271"/>
        <v>1.9626648793565682E-2</v>
      </c>
    </row>
    <row r="290" spans="2:68" s="108" customFormat="1" x14ac:dyDescent="0.25">
      <c r="B290" s="107"/>
      <c r="E290" s="109" t="s">
        <v>1</v>
      </c>
      <c r="F290" s="110" t="s">
        <v>63</v>
      </c>
      <c r="G290" s="111" t="s">
        <v>131</v>
      </c>
      <c r="H290" s="112">
        <v>375272</v>
      </c>
      <c r="I290" s="112">
        <v>358328</v>
      </c>
      <c r="J290" s="112">
        <v>385341</v>
      </c>
      <c r="K290" s="112">
        <v>372065</v>
      </c>
      <c r="L290" s="112">
        <v>412536</v>
      </c>
      <c r="M290" s="112">
        <v>452692</v>
      </c>
      <c r="N290" s="112">
        <v>473310</v>
      </c>
      <c r="O290" s="112">
        <v>492165</v>
      </c>
      <c r="P290" s="112">
        <v>509328</v>
      </c>
      <c r="R290" s="111" t="s">
        <v>131</v>
      </c>
      <c r="S290" s="220">
        <v>3.3</v>
      </c>
      <c r="T290" s="220">
        <v>3.3</v>
      </c>
      <c r="U290" s="220">
        <v>3.3</v>
      </c>
      <c r="V290" s="220">
        <v>3.8</v>
      </c>
      <c r="W290" s="220">
        <v>3.5</v>
      </c>
      <c r="X290" s="220">
        <v>3.6</v>
      </c>
      <c r="Y290" s="220">
        <v>3.2</v>
      </c>
      <c r="Z290" s="220">
        <v>2.9</v>
      </c>
      <c r="AA290" s="220">
        <v>2.6</v>
      </c>
      <c r="AC290" s="111" t="s">
        <v>131</v>
      </c>
      <c r="AD290" s="112">
        <f t="shared" si="273"/>
        <v>24767.951999999997</v>
      </c>
      <c r="AE290" s="112">
        <f t="shared" si="269"/>
        <v>23649.647999999997</v>
      </c>
      <c r="AF290" s="112">
        <f t="shared" si="269"/>
        <v>25432.506000000001</v>
      </c>
      <c r="AG290" s="112">
        <f t="shared" si="269"/>
        <v>28276.94</v>
      </c>
      <c r="AH290" s="112">
        <f t="shared" si="269"/>
        <v>28877.52</v>
      </c>
      <c r="AI290" s="112">
        <f t="shared" si="269"/>
        <v>32593.824000000001</v>
      </c>
      <c r="AJ290" s="112">
        <f t="shared" si="269"/>
        <v>30291.84</v>
      </c>
      <c r="AK290" s="112">
        <f t="shared" si="269"/>
        <v>28545.57</v>
      </c>
      <c r="AL290" s="112">
        <f t="shared" si="269"/>
        <v>26485.056</v>
      </c>
      <c r="AN290" s="111" t="s">
        <v>131</v>
      </c>
      <c r="AO290" s="113">
        <f t="shared" ref="AO290:AW290" si="281">H290/H286</f>
        <v>0.38547039011117123</v>
      </c>
      <c r="AP290" s="113">
        <f t="shared" si="281"/>
        <v>0.35961794958516197</v>
      </c>
      <c r="AQ290" s="113">
        <f t="shared" si="281"/>
        <v>0.37981769113550745</v>
      </c>
      <c r="AR290" s="113">
        <f t="shared" si="281"/>
        <v>0.37223622866518596</v>
      </c>
      <c r="AS290" s="113">
        <f t="shared" si="281"/>
        <v>0.41288158188403695</v>
      </c>
      <c r="AT290" s="113">
        <f t="shared" si="281"/>
        <v>0.44466752975798735</v>
      </c>
      <c r="AU290" s="113">
        <f t="shared" si="281"/>
        <v>0.45531197301854975</v>
      </c>
      <c r="AV290" s="113">
        <f t="shared" si="281"/>
        <v>0.49409543084832441</v>
      </c>
      <c r="AW290" s="113">
        <f t="shared" si="281"/>
        <v>0.50573726541554964</v>
      </c>
      <c r="AY290" s="111" t="s">
        <v>131</v>
      </c>
      <c r="AZ290" s="179">
        <f t="shared" si="271"/>
        <v>2.5441045747337299E-2</v>
      </c>
      <c r="BA290" s="179">
        <f t="shared" si="271"/>
        <v>2.373478467262069E-2</v>
      </c>
      <c r="BB290" s="179">
        <f t="shared" si="271"/>
        <v>2.5067967614943489E-2</v>
      </c>
      <c r="BC290" s="179">
        <f t="shared" si="271"/>
        <v>2.8289953378554132E-2</v>
      </c>
      <c r="BD290" s="179">
        <f t="shared" si="271"/>
        <v>2.8901710731882586E-2</v>
      </c>
      <c r="BE290" s="179">
        <f t="shared" si="271"/>
        <v>3.2016062142575089E-2</v>
      </c>
      <c r="BF290" s="179">
        <f t="shared" si="271"/>
        <v>2.9139966273187188E-2</v>
      </c>
      <c r="BG290" s="179">
        <f t="shared" si="271"/>
        <v>2.8657534989202812E-2</v>
      </c>
      <c r="BH290" s="179">
        <f t="shared" si="271"/>
        <v>2.6298337801608583E-2</v>
      </c>
    </row>
    <row r="291" spans="2:68" s="87" customFormat="1" x14ac:dyDescent="0.25">
      <c r="B291" s="84"/>
      <c r="C291" s="85"/>
      <c r="D291" s="85"/>
      <c r="E291" s="109" t="s">
        <v>2</v>
      </c>
      <c r="F291" s="110" t="s">
        <v>63</v>
      </c>
      <c r="G291" s="195" t="s">
        <v>7</v>
      </c>
      <c r="H291" s="69">
        <v>1769731</v>
      </c>
      <c r="I291" s="69">
        <v>1695743</v>
      </c>
      <c r="J291" s="69">
        <v>1645623</v>
      </c>
      <c r="K291" s="69">
        <v>1597067</v>
      </c>
      <c r="L291" s="69">
        <v>1568979</v>
      </c>
      <c r="M291" s="69">
        <v>1577881</v>
      </c>
      <c r="N291" s="69">
        <v>1611797</v>
      </c>
      <c r="O291" s="69">
        <v>1660869</v>
      </c>
      <c r="P291" s="69">
        <v>1735041</v>
      </c>
      <c r="R291" s="195" t="s">
        <v>7</v>
      </c>
      <c r="S291" s="226">
        <v>0.6</v>
      </c>
      <c r="T291" s="226">
        <v>0.6</v>
      </c>
      <c r="U291" s="226">
        <v>0.6</v>
      </c>
      <c r="V291" s="226">
        <v>0.7</v>
      </c>
      <c r="W291" s="226">
        <v>0.6</v>
      </c>
      <c r="X291" s="226">
        <v>0.7</v>
      </c>
      <c r="Y291" s="226">
        <v>0.7</v>
      </c>
      <c r="Z291" s="226">
        <v>0.6</v>
      </c>
      <c r="AA291" s="226">
        <v>0.6</v>
      </c>
      <c r="AC291" s="195" t="s">
        <v>7</v>
      </c>
      <c r="AD291" s="69">
        <f t="shared" si="273"/>
        <v>21236.771999999997</v>
      </c>
      <c r="AE291" s="69">
        <f t="shared" si="269"/>
        <v>20348.915999999997</v>
      </c>
      <c r="AF291" s="69">
        <f t="shared" si="269"/>
        <v>19747.475999999999</v>
      </c>
      <c r="AG291" s="69">
        <f t="shared" si="269"/>
        <v>22358.937999999998</v>
      </c>
      <c r="AH291" s="69">
        <f t="shared" si="269"/>
        <v>18827.748</v>
      </c>
      <c r="AI291" s="69">
        <f t="shared" si="269"/>
        <v>22090.333999999999</v>
      </c>
      <c r="AJ291" s="69">
        <f t="shared" si="269"/>
        <v>22565.157999999999</v>
      </c>
      <c r="AK291" s="69">
        <f t="shared" si="269"/>
        <v>19930.428</v>
      </c>
      <c r="AL291" s="69">
        <f t="shared" si="269"/>
        <v>20820.491999999998</v>
      </c>
      <c r="AN291" s="195" t="s">
        <v>7</v>
      </c>
      <c r="AO291" s="98">
        <f t="shared" ref="AO291:AW291" si="282">H291/H291</f>
        <v>1</v>
      </c>
      <c r="AP291" s="98">
        <f t="shared" si="282"/>
        <v>1</v>
      </c>
      <c r="AQ291" s="98">
        <f t="shared" si="282"/>
        <v>1</v>
      </c>
      <c r="AR291" s="98">
        <f t="shared" si="282"/>
        <v>1</v>
      </c>
      <c r="AS291" s="98">
        <f t="shared" si="282"/>
        <v>1</v>
      </c>
      <c r="AT291" s="98">
        <f t="shared" si="282"/>
        <v>1</v>
      </c>
      <c r="AU291" s="98">
        <f t="shared" si="282"/>
        <v>1</v>
      </c>
      <c r="AV291" s="98">
        <f t="shared" si="282"/>
        <v>1</v>
      </c>
      <c r="AW291" s="98">
        <f t="shared" si="282"/>
        <v>1</v>
      </c>
      <c r="AX291" s="191"/>
      <c r="AY291" s="195" t="s">
        <v>7</v>
      </c>
      <c r="AZ291" s="178">
        <f t="shared" si="271"/>
        <v>1.2E-2</v>
      </c>
      <c r="BA291" s="178">
        <f t="shared" si="271"/>
        <v>1.2E-2</v>
      </c>
      <c r="BB291" s="178">
        <f t="shared" si="271"/>
        <v>1.2E-2</v>
      </c>
      <c r="BC291" s="178">
        <f t="shared" si="271"/>
        <v>1.3999999999999999E-2</v>
      </c>
      <c r="BD291" s="178">
        <f t="shared" si="271"/>
        <v>1.2E-2</v>
      </c>
      <c r="BE291" s="178">
        <f t="shared" si="271"/>
        <v>1.3999999999999999E-2</v>
      </c>
      <c r="BF291" s="178">
        <f t="shared" si="271"/>
        <v>1.3999999999999999E-2</v>
      </c>
      <c r="BG291" s="178">
        <f t="shared" si="271"/>
        <v>1.2E-2</v>
      </c>
      <c r="BH291" s="178">
        <f t="shared" si="271"/>
        <v>1.2E-2</v>
      </c>
      <c r="BI291" s="191"/>
      <c r="BJ291" s="191"/>
      <c r="BK291" s="191"/>
      <c r="BL291" s="191"/>
      <c r="BM291" s="191"/>
      <c r="BN291" s="191"/>
      <c r="BO291" s="191"/>
      <c r="BP291" s="191"/>
    </row>
    <row r="292" spans="2:68" s="108" customFormat="1" x14ac:dyDescent="0.25">
      <c r="B292" s="107"/>
      <c r="E292" s="109" t="s">
        <v>2</v>
      </c>
      <c r="F292" s="110" t="s">
        <v>63</v>
      </c>
      <c r="G292" s="111" t="s">
        <v>54</v>
      </c>
      <c r="H292" s="112">
        <v>610881</v>
      </c>
      <c r="I292" s="112">
        <v>508186</v>
      </c>
      <c r="J292" s="112">
        <v>470868</v>
      </c>
      <c r="K292" s="112">
        <v>453588</v>
      </c>
      <c r="L292" s="112">
        <v>399396</v>
      </c>
      <c r="M292" s="112">
        <v>417353</v>
      </c>
      <c r="N292" s="112">
        <v>375224</v>
      </c>
      <c r="O292" s="112">
        <v>366001</v>
      </c>
      <c r="P292" s="112">
        <v>358026</v>
      </c>
      <c r="R292" s="111" t="s">
        <v>54</v>
      </c>
      <c r="S292" s="220">
        <v>2.8</v>
      </c>
      <c r="T292" s="220">
        <v>3.1</v>
      </c>
      <c r="U292" s="220">
        <v>2.9</v>
      </c>
      <c r="V292" s="220">
        <v>3.2</v>
      </c>
      <c r="W292" s="220">
        <v>3.9</v>
      </c>
      <c r="X292" s="220">
        <v>3.8</v>
      </c>
      <c r="Y292" s="220">
        <v>4.0999999999999996</v>
      </c>
      <c r="Z292" s="220">
        <v>4.0999999999999996</v>
      </c>
      <c r="AA292" s="220">
        <v>4</v>
      </c>
      <c r="AC292" s="111" t="s">
        <v>54</v>
      </c>
      <c r="AD292" s="112">
        <f t="shared" si="273"/>
        <v>34209.335999999996</v>
      </c>
      <c r="AE292" s="112">
        <f t="shared" si="269"/>
        <v>31507.532000000003</v>
      </c>
      <c r="AF292" s="112">
        <f t="shared" si="269"/>
        <v>27310.343999999997</v>
      </c>
      <c r="AG292" s="112">
        <f t="shared" si="269"/>
        <v>29029.632000000001</v>
      </c>
      <c r="AH292" s="112">
        <f t="shared" si="269"/>
        <v>31152.887999999999</v>
      </c>
      <c r="AI292" s="112">
        <f t="shared" si="269"/>
        <v>31718.827999999998</v>
      </c>
      <c r="AJ292" s="112">
        <f t="shared" si="269"/>
        <v>30768.367999999999</v>
      </c>
      <c r="AK292" s="112">
        <f t="shared" si="269"/>
        <v>30012.081999999999</v>
      </c>
      <c r="AL292" s="112">
        <f t="shared" si="269"/>
        <v>28642.080000000002</v>
      </c>
      <c r="AN292" s="111" t="s">
        <v>54</v>
      </c>
      <c r="AO292" s="113">
        <f t="shared" ref="AO292:AW292" si="283">H292/H291</f>
        <v>0.34518296848504093</v>
      </c>
      <c r="AP292" s="113">
        <f t="shared" si="283"/>
        <v>0.2996833836259386</v>
      </c>
      <c r="AQ292" s="113">
        <f t="shared" si="283"/>
        <v>0.28613357980533816</v>
      </c>
      <c r="AR292" s="113">
        <f t="shared" si="283"/>
        <v>0.28401313157181257</v>
      </c>
      <c r="AS292" s="113">
        <f t="shared" si="283"/>
        <v>0.25455790039254828</v>
      </c>
      <c r="AT292" s="113">
        <f t="shared" si="283"/>
        <v>0.264502202637588</v>
      </c>
      <c r="AU292" s="113">
        <f t="shared" si="283"/>
        <v>0.23279854721159055</v>
      </c>
      <c r="AV292" s="113">
        <f t="shared" si="283"/>
        <v>0.22036716923490052</v>
      </c>
      <c r="AW292" s="113">
        <f t="shared" si="283"/>
        <v>0.20635016694129996</v>
      </c>
      <c r="AY292" s="111" t="s">
        <v>54</v>
      </c>
      <c r="AZ292" s="179">
        <f t="shared" si="271"/>
        <v>1.9330246235162291E-2</v>
      </c>
      <c r="BA292" s="179">
        <f t="shared" si="271"/>
        <v>1.8580369784808193E-2</v>
      </c>
      <c r="BB292" s="179">
        <f t="shared" si="271"/>
        <v>1.6595747628709613E-2</v>
      </c>
      <c r="BC292" s="179">
        <f t="shared" si="271"/>
        <v>1.8176840420596006E-2</v>
      </c>
      <c r="BD292" s="179">
        <f t="shared" si="271"/>
        <v>1.9855516230618767E-2</v>
      </c>
      <c r="BE292" s="179">
        <f t="shared" si="271"/>
        <v>2.0102167400456686E-2</v>
      </c>
      <c r="BF292" s="179">
        <f t="shared" si="271"/>
        <v>1.9089480871350425E-2</v>
      </c>
      <c r="BG292" s="179">
        <f t="shared" si="271"/>
        <v>1.8070107877261841E-2</v>
      </c>
      <c r="BH292" s="179">
        <f t="shared" si="271"/>
        <v>1.6508013355303996E-2</v>
      </c>
    </row>
    <row r="293" spans="2:68" s="108" customFormat="1" x14ac:dyDescent="0.25">
      <c r="B293" s="107"/>
      <c r="E293" s="109" t="s">
        <v>2</v>
      </c>
      <c r="F293" s="110" t="s">
        <v>63</v>
      </c>
      <c r="G293" s="111" t="s">
        <v>55</v>
      </c>
      <c r="H293" s="70">
        <v>433554</v>
      </c>
      <c r="I293" s="70">
        <v>463338</v>
      </c>
      <c r="J293" s="70">
        <v>382408</v>
      </c>
      <c r="K293" s="70">
        <v>350164</v>
      </c>
      <c r="L293" s="70">
        <v>363438</v>
      </c>
      <c r="M293" s="70">
        <v>349023</v>
      </c>
      <c r="N293" s="70">
        <v>351705</v>
      </c>
      <c r="O293" s="112">
        <v>362799</v>
      </c>
      <c r="P293" s="112">
        <v>395459</v>
      </c>
      <c r="R293" s="111" t="s">
        <v>55</v>
      </c>
      <c r="S293" s="81">
        <v>3.4</v>
      </c>
      <c r="T293" s="81">
        <v>3.4</v>
      </c>
      <c r="U293" s="81">
        <v>3.4</v>
      </c>
      <c r="V293" s="81">
        <v>3.9</v>
      </c>
      <c r="W293" s="81">
        <v>4.3</v>
      </c>
      <c r="X293" s="81">
        <v>4.8</v>
      </c>
      <c r="Y293" s="81">
        <v>4.5</v>
      </c>
      <c r="Z293" s="81">
        <v>4.4000000000000004</v>
      </c>
      <c r="AA293" s="81">
        <v>4</v>
      </c>
      <c r="AC293" s="111" t="s">
        <v>55</v>
      </c>
      <c r="AD293" s="70">
        <f t="shared" si="273"/>
        <v>29481.671999999999</v>
      </c>
      <c r="AE293" s="70">
        <f t="shared" si="269"/>
        <v>31506.984</v>
      </c>
      <c r="AF293" s="70">
        <f t="shared" si="269"/>
        <v>26003.743999999999</v>
      </c>
      <c r="AG293" s="70">
        <f t="shared" si="269"/>
        <v>27312.791999999998</v>
      </c>
      <c r="AH293" s="70">
        <f t="shared" si="269"/>
        <v>31255.667999999998</v>
      </c>
      <c r="AI293" s="70">
        <f t="shared" si="269"/>
        <v>33506.207999999999</v>
      </c>
      <c r="AJ293" s="70">
        <f t="shared" si="269"/>
        <v>31653.45</v>
      </c>
      <c r="AK293" s="70">
        <f t="shared" si="269"/>
        <v>31926.312000000002</v>
      </c>
      <c r="AL293" s="70">
        <f t="shared" si="269"/>
        <v>31636.720000000001</v>
      </c>
      <c r="AN293" s="111" t="s">
        <v>55</v>
      </c>
      <c r="AO293" s="113">
        <f t="shared" ref="AO293:AW293" si="284">H293/H291</f>
        <v>0.24498299459070333</v>
      </c>
      <c r="AP293" s="113">
        <f t="shared" si="284"/>
        <v>0.27323597974457214</v>
      </c>
      <c r="AQ293" s="113">
        <f t="shared" si="284"/>
        <v>0.23237886198722307</v>
      </c>
      <c r="AR293" s="113">
        <f t="shared" si="284"/>
        <v>0.21925442076005577</v>
      </c>
      <c r="AS293" s="113">
        <f t="shared" si="284"/>
        <v>0.23163981162271771</v>
      </c>
      <c r="AT293" s="113">
        <f t="shared" si="284"/>
        <v>0.22119728927593399</v>
      </c>
      <c r="AU293" s="113">
        <f t="shared" si="284"/>
        <v>0.21820675928792521</v>
      </c>
      <c r="AV293" s="113">
        <f t="shared" si="284"/>
        <v>0.2184392628196444</v>
      </c>
      <c r="AW293" s="113">
        <f t="shared" si="284"/>
        <v>0.2279248732450703</v>
      </c>
      <c r="AY293" s="111" t="s">
        <v>55</v>
      </c>
      <c r="AZ293" s="179">
        <f t="shared" si="271"/>
        <v>1.6658843632167825E-2</v>
      </c>
      <c r="BA293" s="179">
        <f t="shared" si="271"/>
        <v>1.8580046622630905E-2</v>
      </c>
      <c r="BB293" s="179">
        <f t="shared" si="271"/>
        <v>1.5801762615131169E-2</v>
      </c>
      <c r="BC293" s="179">
        <f t="shared" si="271"/>
        <v>1.710184481928435E-2</v>
      </c>
      <c r="BD293" s="179">
        <f t="shared" si="271"/>
        <v>1.9921023799553725E-2</v>
      </c>
      <c r="BE293" s="179">
        <f t="shared" si="271"/>
        <v>2.1234939770489659E-2</v>
      </c>
      <c r="BF293" s="179">
        <f t="shared" si="271"/>
        <v>1.9638608335913271E-2</v>
      </c>
      <c r="BG293" s="179">
        <f t="shared" si="271"/>
        <v>1.9222655128128711E-2</v>
      </c>
      <c r="BH293" s="179">
        <f t="shared" si="271"/>
        <v>1.8233989859605625E-2</v>
      </c>
    </row>
    <row r="294" spans="2:68" x14ac:dyDescent="0.25">
      <c r="C294" s="83"/>
      <c r="D294" s="83"/>
      <c r="E294" s="109" t="s">
        <v>2</v>
      </c>
      <c r="F294" s="110" t="s">
        <v>63</v>
      </c>
      <c r="G294" s="111" t="s">
        <v>130</v>
      </c>
      <c r="H294" s="70">
        <v>214235</v>
      </c>
      <c r="I294" s="70">
        <v>250363</v>
      </c>
      <c r="J294" s="70">
        <v>241652</v>
      </c>
      <c r="K294" s="70">
        <v>209494</v>
      </c>
      <c r="L294" s="70">
        <v>212493</v>
      </c>
      <c r="M294" s="70">
        <v>245151</v>
      </c>
      <c r="N294" s="70">
        <v>252436</v>
      </c>
      <c r="O294" s="112">
        <v>264091</v>
      </c>
      <c r="P294" s="112">
        <v>285369</v>
      </c>
      <c r="R294" s="111" t="s">
        <v>130</v>
      </c>
      <c r="S294" s="220">
        <v>5.0999999999999996</v>
      </c>
      <c r="T294" s="220">
        <v>5</v>
      </c>
      <c r="U294" s="220">
        <v>4.7</v>
      </c>
      <c r="V294" s="220">
        <v>5.5</v>
      </c>
      <c r="W294" s="220">
        <v>6</v>
      </c>
      <c r="X294" s="220">
        <v>6.3</v>
      </c>
      <c r="Y294" s="220">
        <v>6</v>
      </c>
      <c r="Z294" s="220">
        <v>5</v>
      </c>
      <c r="AA294" s="220">
        <v>4.9000000000000004</v>
      </c>
      <c r="AC294" s="111" t="s">
        <v>130</v>
      </c>
      <c r="AD294" s="70">
        <f t="shared" si="273"/>
        <v>21851.97</v>
      </c>
      <c r="AE294" s="70">
        <f t="shared" si="269"/>
        <v>25036.3</v>
      </c>
      <c r="AF294" s="70">
        <f t="shared" si="269"/>
        <v>22715.288000000004</v>
      </c>
      <c r="AG294" s="70">
        <f t="shared" si="269"/>
        <v>23044.34</v>
      </c>
      <c r="AH294" s="70">
        <f t="shared" si="269"/>
        <v>25499.16</v>
      </c>
      <c r="AI294" s="70">
        <f t="shared" si="269"/>
        <v>30889.026000000002</v>
      </c>
      <c r="AJ294" s="70">
        <f t="shared" si="269"/>
        <v>30292.32</v>
      </c>
      <c r="AK294" s="70">
        <f t="shared" si="269"/>
        <v>26409.1</v>
      </c>
      <c r="AL294" s="70">
        <f t="shared" si="269"/>
        <v>27966.162</v>
      </c>
      <c r="AN294" s="111" t="s">
        <v>130</v>
      </c>
      <c r="AO294" s="113">
        <f t="shared" ref="AO294:AW294" si="285">H294/H291</f>
        <v>0.12105512080649546</v>
      </c>
      <c r="AP294" s="113">
        <f t="shared" si="285"/>
        <v>0.14764206604420599</v>
      </c>
      <c r="AQ294" s="113">
        <f t="shared" si="285"/>
        <v>0.14684529810290692</v>
      </c>
      <c r="AR294" s="113">
        <f t="shared" si="285"/>
        <v>0.13117420872136235</v>
      </c>
      <c r="AS294" s="113">
        <f t="shared" si="285"/>
        <v>0.13543393506222837</v>
      </c>
      <c r="AT294" s="113">
        <f t="shared" si="285"/>
        <v>0.15536722984813175</v>
      </c>
      <c r="AU294" s="113">
        <f t="shared" si="285"/>
        <v>0.1566177378416761</v>
      </c>
      <c r="AV294" s="113">
        <f t="shared" si="285"/>
        <v>0.15900772426964438</v>
      </c>
      <c r="AW294" s="113">
        <f t="shared" si="285"/>
        <v>0.16447392309461276</v>
      </c>
      <c r="AY294" s="111" t="s">
        <v>130</v>
      </c>
      <c r="AZ294" s="179">
        <f t="shared" si="271"/>
        <v>1.2347622322262535E-2</v>
      </c>
      <c r="BA294" s="179">
        <f t="shared" si="271"/>
        <v>1.4764206604420597E-2</v>
      </c>
      <c r="BB294" s="179">
        <f t="shared" si="271"/>
        <v>1.3803458021673251E-2</v>
      </c>
      <c r="BC294" s="179">
        <f t="shared" si="271"/>
        <v>1.4429162959349857E-2</v>
      </c>
      <c r="BD294" s="179">
        <f t="shared" si="271"/>
        <v>1.6252072207467404E-2</v>
      </c>
      <c r="BE294" s="179">
        <f t="shared" si="271"/>
        <v>1.9576270960864603E-2</v>
      </c>
      <c r="BF294" s="179">
        <f t="shared" si="271"/>
        <v>1.8794128541001133E-2</v>
      </c>
      <c r="BG294" s="179">
        <f t="shared" si="271"/>
        <v>1.5900772426964437E-2</v>
      </c>
      <c r="BH294" s="179">
        <f t="shared" si="271"/>
        <v>1.6118444463272052E-2</v>
      </c>
    </row>
    <row r="295" spans="2:68" s="108" customFormat="1" x14ac:dyDescent="0.25">
      <c r="B295" s="107"/>
      <c r="E295" s="109" t="s">
        <v>2</v>
      </c>
      <c r="F295" s="110" t="s">
        <v>63</v>
      </c>
      <c r="G295" s="111" t="s">
        <v>131</v>
      </c>
      <c r="H295" s="112">
        <v>510695</v>
      </c>
      <c r="I295" s="112">
        <v>473206</v>
      </c>
      <c r="J295" s="112">
        <v>549100</v>
      </c>
      <c r="K295" s="112">
        <v>583585</v>
      </c>
      <c r="L295" s="112">
        <v>593652</v>
      </c>
      <c r="M295" s="112">
        <v>566354</v>
      </c>
      <c r="N295" s="112">
        <v>632431</v>
      </c>
      <c r="O295" s="112">
        <v>667978</v>
      </c>
      <c r="P295" s="112">
        <v>696187</v>
      </c>
      <c r="R295" s="111" t="s">
        <v>131</v>
      </c>
      <c r="S295" s="220">
        <v>3</v>
      </c>
      <c r="T295" s="220">
        <v>3.4</v>
      </c>
      <c r="U295" s="220">
        <v>3</v>
      </c>
      <c r="V295" s="220">
        <v>2.4</v>
      </c>
      <c r="W295" s="220">
        <v>3.2</v>
      </c>
      <c r="X295" s="220">
        <v>2.7</v>
      </c>
      <c r="Y295" s="220">
        <v>2.7</v>
      </c>
      <c r="Z295" s="220">
        <v>3.1</v>
      </c>
      <c r="AA295" s="220">
        <v>3.1</v>
      </c>
      <c r="AC295" s="111" t="s">
        <v>131</v>
      </c>
      <c r="AD295" s="112">
        <f t="shared" si="273"/>
        <v>30641.7</v>
      </c>
      <c r="AE295" s="112">
        <f t="shared" si="269"/>
        <v>32178.007999999998</v>
      </c>
      <c r="AF295" s="112">
        <f t="shared" si="269"/>
        <v>32946</v>
      </c>
      <c r="AG295" s="112">
        <f t="shared" si="269"/>
        <v>28012.080000000002</v>
      </c>
      <c r="AH295" s="112">
        <f t="shared" si="269"/>
        <v>37993.728000000003</v>
      </c>
      <c r="AI295" s="112">
        <f t="shared" si="269"/>
        <v>30583.116000000002</v>
      </c>
      <c r="AJ295" s="112">
        <f t="shared" si="269"/>
        <v>34151.274000000005</v>
      </c>
      <c r="AK295" s="112">
        <f t="shared" si="269"/>
        <v>41414.635999999999</v>
      </c>
      <c r="AL295" s="112">
        <f t="shared" si="269"/>
        <v>43163.594000000005</v>
      </c>
      <c r="AN295" s="111" t="s">
        <v>131</v>
      </c>
      <c r="AO295" s="113">
        <f t="shared" ref="AO295:AW295" si="286">H295/H291</f>
        <v>0.28857210502613106</v>
      </c>
      <c r="AP295" s="113">
        <f t="shared" si="286"/>
        <v>0.27905525778375617</v>
      </c>
      <c r="AQ295" s="113">
        <f t="shared" si="286"/>
        <v>0.33367302231434537</v>
      </c>
      <c r="AR295" s="113">
        <f t="shared" si="286"/>
        <v>0.3654104680642703</v>
      </c>
      <c r="AS295" s="113">
        <f t="shared" si="286"/>
        <v>0.37836835292250565</v>
      </c>
      <c r="AT295" s="113">
        <f t="shared" si="286"/>
        <v>0.35893327823834625</v>
      </c>
      <c r="AU295" s="113">
        <f t="shared" si="286"/>
        <v>0.39237633523328308</v>
      </c>
      <c r="AV295" s="113">
        <f t="shared" si="286"/>
        <v>0.40218584367581067</v>
      </c>
      <c r="AW295" s="113">
        <f t="shared" si="286"/>
        <v>0.40125103671901702</v>
      </c>
      <c r="AY295" s="111" t="s">
        <v>131</v>
      </c>
      <c r="AZ295" s="204">
        <f t="shared" si="271"/>
        <v>1.7314326301567862E-2</v>
      </c>
      <c r="BA295" s="204">
        <f t="shared" si="271"/>
        <v>1.8975757529295419E-2</v>
      </c>
      <c r="BB295" s="204">
        <f t="shared" si="271"/>
        <v>2.0020381338860721E-2</v>
      </c>
      <c r="BC295" s="204">
        <f t="shared" si="271"/>
        <v>1.7539702467084976E-2</v>
      </c>
      <c r="BD295" s="204">
        <f t="shared" si="271"/>
        <v>2.4215574587040364E-2</v>
      </c>
      <c r="BE295" s="204">
        <f t="shared" si="271"/>
        <v>1.9382397024870698E-2</v>
      </c>
      <c r="BF295" s="204">
        <f t="shared" si="271"/>
        <v>2.1188322102597287E-2</v>
      </c>
      <c r="BG295" s="204">
        <f t="shared" si="271"/>
        <v>2.4935522307900262E-2</v>
      </c>
      <c r="BH295" s="204">
        <f t="shared" si="271"/>
        <v>2.4877564276579056E-2</v>
      </c>
    </row>
    <row r="296" spans="2:68" s="87" customFormat="1" x14ac:dyDescent="0.25">
      <c r="B296" s="84"/>
      <c r="C296" s="85"/>
      <c r="D296" s="85"/>
      <c r="E296" s="109" t="s">
        <v>3</v>
      </c>
      <c r="F296" s="110" t="s">
        <v>63</v>
      </c>
      <c r="G296" s="195" t="s">
        <v>7</v>
      </c>
      <c r="H296" s="69">
        <v>1858467</v>
      </c>
      <c r="I296" s="69">
        <v>1984241</v>
      </c>
      <c r="J296" s="69">
        <v>2095094</v>
      </c>
      <c r="K296" s="69">
        <v>2202523</v>
      </c>
      <c r="L296" s="69">
        <v>2270415</v>
      </c>
      <c r="M296" s="69">
        <v>2302244</v>
      </c>
      <c r="N296" s="69">
        <v>2314382</v>
      </c>
      <c r="O296" s="69">
        <v>2327035</v>
      </c>
      <c r="P296" s="69">
        <v>2275975</v>
      </c>
      <c r="R296" s="195" t="s">
        <v>7</v>
      </c>
      <c r="S296" s="226">
        <v>0.6</v>
      </c>
      <c r="T296" s="226">
        <v>0.6</v>
      </c>
      <c r="U296" s="226">
        <v>0.5</v>
      </c>
      <c r="V296" s="226">
        <v>0.6</v>
      </c>
      <c r="W296" s="226">
        <v>0.6</v>
      </c>
      <c r="X296" s="226">
        <v>0.7</v>
      </c>
      <c r="Y296" s="226">
        <v>0.5</v>
      </c>
      <c r="Z296" s="226">
        <v>0.5</v>
      </c>
      <c r="AA296" s="226">
        <v>0.6</v>
      </c>
      <c r="AC296" s="195" t="s">
        <v>7</v>
      </c>
      <c r="AD296" s="69">
        <f t="shared" si="273"/>
        <v>22301.603999999999</v>
      </c>
      <c r="AE296" s="69">
        <f t="shared" si="269"/>
        <v>23810.891999999996</v>
      </c>
      <c r="AF296" s="69">
        <f t="shared" si="269"/>
        <v>20950.939999999999</v>
      </c>
      <c r="AG296" s="69">
        <f t="shared" si="269"/>
        <v>26430.276000000002</v>
      </c>
      <c r="AH296" s="69">
        <f t="shared" si="269"/>
        <v>27244.98</v>
      </c>
      <c r="AI296" s="69">
        <f t="shared" si="269"/>
        <v>32231.415999999997</v>
      </c>
      <c r="AJ296" s="69">
        <f t="shared" si="269"/>
        <v>23143.82</v>
      </c>
      <c r="AK296" s="69">
        <f t="shared" si="269"/>
        <v>23270.35</v>
      </c>
      <c r="AL296" s="69">
        <f t="shared" si="269"/>
        <v>27311.7</v>
      </c>
      <c r="AN296" s="195" t="s">
        <v>7</v>
      </c>
      <c r="AO296" s="98">
        <f t="shared" ref="AO296:AW296" si="287">H296/H296</f>
        <v>1</v>
      </c>
      <c r="AP296" s="98">
        <f t="shared" si="287"/>
        <v>1</v>
      </c>
      <c r="AQ296" s="98">
        <f t="shared" si="287"/>
        <v>1</v>
      </c>
      <c r="AR296" s="98">
        <f t="shared" si="287"/>
        <v>1</v>
      </c>
      <c r="AS296" s="98">
        <f t="shared" si="287"/>
        <v>1</v>
      </c>
      <c r="AT296" s="98">
        <f t="shared" si="287"/>
        <v>1</v>
      </c>
      <c r="AU296" s="98">
        <f t="shared" si="287"/>
        <v>1</v>
      </c>
      <c r="AV296" s="98">
        <f t="shared" si="287"/>
        <v>1</v>
      </c>
      <c r="AW296" s="98">
        <f t="shared" si="287"/>
        <v>1</v>
      </c>
      <c r="AX296" s="191"/>
      <c r="AY296" s="195" t="s">
        <v>7</v>
      </c>
      <c r="AZ296" s="178">
        <f t="shared" si="271"/>
        <v>1.2E-2</v>
      </c>
      <c r="BA296" s="178">
        <f t="shared" si="271"/>
        <v>1.2E-2</v>
      </c>
      <c r="BB296" s="178">
        <f t="shared" si="271"/>
        <v>0.01</v>
      </c>
      <c r="BC296" s="178">
        <f t="shared" si="271"/>
        <v>1.2E-2</v>
      </c>
      <c r="BD296" s="178">
        <f t="shared" si="271"/>
        <v>1.2E-2</v>
      </c>
      <c r="BE296" s="178">
        <f t="shared" si="271"/>
        <v>1.3999999999999999E-2</v>
      </c>
      <c r="BF296" s="178">
        <f t="shared" si="271"/>
        <v>0.01</v>
      </c>
      <c r="BG296" s="178">
        <f t="shared" si="271"/>
        <v>0.01</v>
      </c>
      <c r="BH296" s="178">
        <f t="shared" si="271"/>
        <v>1.2E-2</v>
      </c>
      <c r="BI296" s="191"/>
      <c r="BJ296" s="191"/>
      <c r="BK296" s="191"/>
      <c r="BL296" s="191"/>
      <c r="BM296" s="191"/>
      <c r="BN296" s="191"/>
      <c r="BO296" s="191"/>
      <c r="BP296" s="191"/>
    </row>
    <row r="297" spans="2:68" s="108" customFormat="1" x14ac:dyDescent="0.25">
      <c r="B297" s="107"/>
      <c r="E297" s="109" t="s">
        <v>3</v>
      </c>
      <c r="F297" s="110" t="s">
        <v>63</v>
      </c>
      <c r="G297" s="111" t="s">
        <v>54</v>
      </c>
      <c r="H297" s="112">
        <v>550941</v>
      </c>
      <c r="I297" s="112">
        <v>529443</v>
      </c>
      <c r="J297" s="112">
        <v>531287</v>
      </c>
      <c r="K297" s="112">
        <v>572216</v>
      </c>
      <c r="L297" s="112">
        <v>578449</v>
      </c>
      <c r="M297" s="112">
        <v>570014</v>
      </c>
      <c r="N297" s="112">
        <v>526464</v>
      </c>
      <c r="O297" s="112">
        <v>481885</v>
      </c>
      <c r="P297" s="112">
        <v>462180</v>
      </c>
      <c r="R297" s="111" t="s">
        <v>54</v>
      </c>
      <c r="S297" s="220">
        <v>3</v>
      </c>
      <c r="T297" s="220">
        <v>3.2</v>
      </c>
      <c r="U297" s="220">
        <v>3</v>
      </c>
      <c r="V297" s="220">
        <v>2.4</v>
      </c>
      <c r="W297" s="220">
        <v>3.5</v>
      </c>
      <c r="X297" s="220">
        <v>3.6</v>
      </c>
      <c r="Y297" s="220">
        <v>3</v>
      </c>
      <c r="Z297" s="220">
        <v>3.8</v>
      </c>
      <c r="AA297" s="220">
        <v>3.5</v>
      </c>
      <c r="AC297" s="111" t="s">
        <v>54</v>
      </c>
      <c r="AD297" s="112">
        <f t="shared" si="273"/>
        <v>33056.46</v>
      </c>
      <c r="AE297" s="112">
        <f t="shared" si="269"/>
        <v>33884.351999999999</v>
      </c>
      <c r="AF297" s="112">
        <f t="shared" si="269"/>
        <v>31877.22</v>
      </c>
      <c r="AG297" s="112">
        <f t="shared" si="269"/>
        <v>27466.367999999999</v>
      </c>
      <c r="AH297" s="112">
        <f t="shared" si="269"/>
        <v>40491.43</v>
      </c>
      <c r="AI297" s="112">
        <f t="shared" si="269"/>
        <v>41041.008000000002</v>
      </c>
      <c r="AJ297" s="112">
        <f t="shared" si="269"/>
        <v>31587.84</v>
      </c>
      <c r="AK297" s="112">
        <f t="shared" si="269"/>
        <v>36623.26</v>
      </c>
      <c r="AL297" s="112">
        <f t="shared" si="269"/>
        <v>32352.6</v>
      </c>
      <c r="AN297" s="111" t="s">
        <v>54</v>
      </c>
      <c r="AO297" s="113">
        <f t="shared" ref="AO297:AW297" si="288">H297/H296</f>
        <v>0.29644917020318357</v>
      </c>
      <c r="AP297" s="113">
        <f t="shared" si="288"/>
        <v>0.26682393922915615</v>
      </c>
      <c r="AQ297" s="113">
        <f t="shared" si="288"/>
        <v>0.25358623527154389</v>
      </c>
      <c r="AR297" s="113">
        <f t="shared" si="288"/>
        <v>0.25980023818139469</v>
      </c>
      <c r="AS297" s="113">
        <f t="shared" si="288"/>
        <v>0.25477676988568171</v>
      </c>
      <c r="AT297" s="113">
        <f t="shared" si="288"/>
        <v>0.24759061159460075</v>
      </c>
      <c r="AU297" s="113">
        <f t="shared" si="288"/>
        <v>0.22747498036192815</v>
      </c>
      <c r="AV297" s="113">
        <f t="shared" si="288"/>
        <v>0.20708111394972573</v>
      </c>
      <c r="AW297" s="113">
        <f t="shared" si="288"/>
        <v>0.20306901437845318</v>
      </c>
      <c r="AY297" s="111" t="s">
        <v>54</v>
      </c>
      <c r="AZ297" s="179">
        <f t="shared" si="271"/>
        <v>1.7786950212191014E-2</v>
      </c>
      <c r="BA297" s="179">
        <f t="shared" si="271"/>
        <v>1.7076732110665994E-2</v>
      </c>
      <c r="BB297" s="179">
        <f t="shared" si="271"/>
        <v>1.5215174116292633E-2</v>
      </c>
      <c r="BC297" s="179">
        <f t="shared" si="271"/>
        <v>1.2470411432706946E-2</v>
      </c>
      <c r="BD297" s="179">
        <f t="shared" si="271"/>
        <v>1.7834373891997719E-2</v>
      </c>
      <c r="BE297" s="179">
        <f t="shared" si="271"/>
        <v>1.7826524034811254E-2</v>
      </c>
      <c r="BF297" s="179">
        <f t="shared" si="271"/>
        <v>1.3648498821715689E-2</v>
      </c>
      <c r="BG297" s="179">
        <f t="shared" si="271"/>
        <v>1.5738164660179153E-2</v>
      </c>
      <c r="BH297" s="179">
        <f t="shared" si="271"/>
        <v>1.4214831006491721E-2</v>
      </c>
    </row>
    <row r="298" spans="2:68" s="108" customFormat="1" x14ac:dyDescent="0.25">
      <c r="B298" s="107"/>
      <c r="E298" s="109" t="s">
        <v>3</v>
      </c>
      <c r="F298" s="110" t="s">
        <v>63</v>
      </c>
      <c r="G298" s="111" t="s">
        <v>55</v>
      </c>
      <c r="H298" s="70">
        <v>697488</v>
      </c>
      <c r="I298" s="70">
        <v>825518</v>
      </c>
      <c r="J298" s="112">
        <v>828031</v>
      </c>
      <c r="K298" s="112">
        <v>874005</v>
      </c>
      <c r="L298" s="112">
        <v>918908</v>
      </c>
      <c r="M298" s="112">
        <v>882445</v>
      </c>
      <c r="N298" s="112">
        <v>851815</v>
      </c>
      <c r="O298" s="112">
        <v>912906</v>
      </c>
      <c r="P298" s="112">
        <v>829407</v>
      </c>
      <c r="R298" s="111" t="s">
        <v>55</v>
      </c>
      <c r="S298" s="81">
        <v>2.8</v>
      </c>
      <c r="T298" s="81">
        <v>2.2999999999999998</v>
      </c>
      <c r="U298" s="81">
        <v>2.1</v>
      </c>
      <c r="V298" s="81">
        <v>1.8</v>
      </c>
      <c r="W298" s="81">
        <v>3</v>
      </c>
      <c r="X298" s="81">
        <v>2.7</v>
      </c>
      <c r="Y298" s="81">
        <v>3.2</v>
      </c>
      <c r="Z298" s="81">
        <v>2.4</v>
      </c>
      <c r="AA298" s="81">
        <v>2.5</v>
      </c>
      <c r="AC298" s="111" t="s">
        <v>55</v>
      </c>
      <c r="AD298" s="70">
        <f t="shared" si="273"/>
        <v>39059.328000000001</v>
      </c>
      <c r="AE298" s="70">
        <f t="shared" si="269"/>
        <v>37973.828000000001</v>
      </c>
      <c r="AF298" s="70">
        <f t="shared" si="269"/>
        <v>34777.302000000003</v>
      </c>
      <c r="AG298" s="70">
        <f t="shared" si="269"/>
        <v>31464.18</v>
      </c>
      <c r="AH298" s="70">
        <f t="shared" si="269"/>
        <v>55134.48</v>
      </c>
      <c r="AI298" s="70">
        <f t="shared" si="269"/>
        <v>47652.03</v>
      </c>
      <c r="AJ298" s="70">
        <f t="shared" si="269"/>
        <v>54516.160000000003</v>
      </c>
      <c r="AK298" s="70">
        <f t="shared" si="269"/>
        <v>43819.487999999998</v>
      </c>
      <c r="AL298" s="70">
        <f t="shared" si="269"/>
        <v>41470.35</v>
      </c>
      <c r="AN298" s="111" t="s">
        <v>55</v>
      </c>
      <c r="AO298" s="113">
        <f t="shared" ref="AO298:AW298" si="289">H298/H296</f>
        <v>0.37530287059172962</v>
      </c>
      <c r="AP298" s="113">
        <f t="shared" si="289"/>
        <v>0.41603716484035963</v>
      </c>
      <c r="AQ298" s="113">
        <f t="shared" si="289"/>
        <v>0.3952237942545776</v>
      </c>
      <c r="AR298" s="113">
        <f t="shared" si="289"/>
        <v>0.39681991970117908</v>
      </c>
      <c r="AS298" s="113">
        <f t="shared" si="289"/>
        <v>0.4047312936181271</v>
      </c>
      <c r="AT298" s="113">
        <f t="shared" si="289"/>
        <v>0.3832977738241472</v>
      </c>
      <c r="AU298" s="113">
        <f t="shared" si="289"/>
        <v>0.36805289705848043</v>
      </c>
      <c r="AV298" s="113">
        <f t="shared" si="289"/>
        <v>0.39230437015343561</v>
      </c>
      <c r="AW298" s="113">
        <f t="shared" si="289"/>
        <v>0.36441832621184328</v>
      </c>
      <c r="AY298" s="111" t="s">
        <v>55</v>
      </c>
      <c r="AZ298" s="179">
        <f t="shared" si="271"/>
        <v>2.1016960753136856E-2</v>
      </c>
      <c r="BA298" s="179">
        <f t="shared" si="271"/>
        <v>1.913770958265654E-2</v>
      </c>
      <c r="BB298" s="179">
        <f t="shared" si="271"/>
        <v>1.6599399358692261E-2</v>
      </c>
      <c r="BC298" s="179">
        <f t="shared" si="271"/>
        <v>1.4285517109242448E-2</v>
      </c>
      <c r="BD298" s="179">
        <f t="shared" si="271"/>
        <v>2.4283877617087626E-2</v>
      </c>
      <c r="BE298" s="179">
        <f t="shared" si="271"/>
        <v>2.069807978650395E-2</v>
      </c>
      <c r="BF298" s="179">
        <f t="shared" si="271"/>
        <v>2.3555385411742749E-2</v>
      </c>
      <c r="BG298" s="179">
        <f t="shared" si="271"/>
        <v>1.8830609767364906E-2</v>
      </c>
      <c r="BH298" s="179">
        <f t="shared" si="271"/>
        <v>1.8220916310592163E-2</v>
      </c>
    </row>
    <row r="299" spans="2:68" s="108" customFormat="1" x14ac:dyDescent="0.25">
      <c r="B299" s="107"/>
      <c r="E299" s="109" t="s">
        <v>3</v>
      </c>
      <c r="F299" s="110" t="s">
        <v>63</v>
      </c>
      <c r="G299" s="111" t="s">
        <v>130</v>
      </c>
      <c r="H299" s="70">
        <v>180307</v>
      </c>
      <c r="I299" s="70">
        <v>231061</v>
      </c>
      <c r="J299" s="70">
        <v>266289</v>
      </c>
      <c r="K299" s="70">
        <v>238459</v>
      </c>
      <c r="L299" s="70">
        <v>242693</v>
      </c>
      <c r="M299" s="70">
        <v>289645</v>
      </c>
      <c r="N299" s="70">
        <v>294823</v>
      </c>
      <c r="O299" s="112">
        <v>329793</v>
      </c>
      <c r="P299" s="112">
        <v>293630</v>
      </c>
      <c r="R299" s="111" t="s">
        <v>130</v>
      </c>
      <c r="S299" s="220">
        <v>5.9</v>
      </c>
      <c r="T299" s="220">
        <v>5.5</v>
      </c>
      <c r="U299" s="220">
        <v>4.7</v>
      </c>
      <c r="V299" s="220">
        <v>5.5</v>
      </c>
      <c r="W299" s="220">
        <v>6</v>
      </c>
      <c r="X299" s="220">
        <v>5.6</v>
      </c>
      <c r="Y299" s="220">
        <v>5.4</v>
      </c>
      <c r="Z299" s="220">
        <v>4.7</v>
      </c>
      <c r="AA299" s="220">
        <v>5</v>
      </c>
      <c r="AC299" s="111" t="s">
        <v>130</v>
      </c>
      <c r="AD299" s="70">
        <f t="shared" si="273"/>
        <v>21276.226000000002</v>
      </c>
      <c r="AE299" s="70">
        <f t="shared" si="269"/>
        <v>25416.71</v>
      </c>
      <c r="AF299" s="70">
        <f t="shared" si="269"/>
        <v>25031.166000000001</v>
      </c>
      <c r="AG299" s="70">
        <f t="shared" si="269"/>
        <v>26230.49</v>
      </c>
      <c r="AH299" s="70">
        <f t="shared" si="269"/>
        <v>29123.16</v>
      </c>
      <c r="AI299" s="70">
        <f t="shared" si="269"/>
        <v>32440.240000000002</v>
      </c>
      <c r="AJ299" s="70">
        <f t="shared" si="269"/>
        <v>31840.884000000005</v>
      </c>
      <c r="AK299" s="70">
        <f t="shared" si="269"/>
        <v>31000.542000000001</v>
      </c>
      <c r="AL299" s="70">
        <f t="shared" si="269"/>
        <v>29363</v>
      </c>
      <c r="AN299" s="111" t="s">
        <v>130</v>
      </c>
      <c r="AO299" s="113">
        <f t="shared" ref="AO299:AW299" si="290">H299/H296</f>
        <v>9.7019209918712573E-2</v>
      </c>
      <c r="AP299" s="113">
        <f t="shared" si="290"/>
        <v>0.11644805242911521</v>
      </c>
      <c r="AQ299" s="113">
        <f t="shared" si="290"/>
        <v>0.12710121837015428</v>
      </c>
      <c r="AR299" s="113">
        <f t="shared" si="290"/>
        <v>0.10826629279240217</v>
      </c>
      <c r="AS299" s="113">
        <f t="shared" si="290"/>
        <v>0.1068936736235446</v>
      </c>
      <c r="AT299" s="113">
        <f t="shared" si="290"/>
        <v>0.12580986203026265</v>
      </c>
      <c r="AU299" s="113">
        <f t="shared" si="290"/>
        <v>0.12738735437797219</v>
      </c>
      <c r="AV299" s="113">
        <f t="shared" si="290"/>
        <v>0.14172240640987352</v>
      </c>
      <c r="AW299" s="113">
        <f t="shared" si="290"/>
        <v>0.12901284065071014</v>
      </c>
      <c r="AY299" s="111" t="s">
        <v>130</v>
      </c>
      <c r="AZ299" s="179">
        <f t="shared" si="271"/>
        <v>1.1448266770408085E-2</v>
      </c>
      <c r="BA299" s="179">
        <f t="shared" si="271"/>
        <v>1.2809285767202673E-2</v>
      </c>
      <c r="BB299" s="179">
        <f t="shared" si="271"/>
        <v>1.1947514526794503E-2</v>
      </c>
      <c r="BC299" s="179">
        <f t="shared" si="271"/>
        <v>1.1909292207164239E-2</v>
      </c>
      <c r="BD299" s="179">
        <f t="shared" si="271"/>
        <v>1.2827240834825351E-2</v>
      </c>
      <c r="BE299" s="179">
        <f t="shared" si="271"/>
        <v>1.4090704547389416E-2</v>
      </c>
      <c r="BF299" s="179">
        <f t="shared" si="271"/>
        <v>1.3757834272820997E-2</v>
      </c>
      <c r="BG299" s="179">
        <f t="shared" si="271"/>
        <v>1.332190620252811E-2</v>
      </c>
      <c r="BH299" s="179">
        <f t="shared" si="271"/>
        <v>1.2901284065071015E-2</v>
      </c>
    </row>
    <row r="300" spans="2:68" s="108" customFormat="1" x14ac:dyDescent="0.25">
      <c r="B300" s="107"/>
      <c r="E300" s="109" t="s">
        <v>3</v>
      </c>
      <c r="F300" s="110" t="s">
        <v>63</v>
      </c>
      <c r="G300" s="111" t="s">
        <v>131</v>
      </c>
      <c r="H300" s="112">
        <v>429731</v>
      </c>
      <c r="I300" s="112">
        <v>397971</v>
      </c>
      <c r="J300" s="112">
        <v>469063</v>
      </c>
      <c r="K300" s="112">
        <v>516456</v>
      </c>
      <c r="L300" s="112">
        <v>530364</v>
      </c>
      <c r="M300" s="112">
        <v>560139</v>
      </c>
      <c r="N300" s="112">
        <v>641279</v>
      </c>
      <c r="O300" s="112">
        <v>602451</v>
      </c>
      <c r="P300" s="112">
        <v>690758</v>
      </c>
      <c r="R300" s="111" t="s">
        <v>131</v>
      </c>
      <c r="S300" s="220">
        <v>3.4</v>
      </c>
      <c r="T300" s="220">
        <v>4.3</v>
      </c>
      <c r="U300" s="220">
        <v>3.1</v>
      </c>
      <c r="V300" s="220">
        <v>2.4</v>
      </c>
      <c r="W300" s="220">
        <v>3.5</v>
      </c>
      <c r="X300" s="220">
        <v>3.6</v>
      </c>
      <c r="Y300" s="220">
        <v>2.9</v>
      </c>
      <c r="Z300" s="220">
        <v>3.3</v>
      </c>
      <c r="AA300" s="220">
        <v>3.1</v>
      </c>
      <c r="AC300" s="111" t="s">
        <v>131</v>
      </c>
      <c r="AD300" s="112">
        <f t="shared" si="273"/>
        <v>29221.707999999999</v>
      </c>
      <c r="AE300" s="112">
        <f t="shared" si="269"/>
        <v>34225.505999999994</v>
      </c>
      <c r="AF300" s="112">
        <f t="shared" si="269"/>
        <v>29081.906000000003</v>
      </c>
      <c r="AG300" s="112">
        <f t="shared" si="269"/>
        <v>24789.887999999999</v>
      </c>
      <c r="AH300" s="112">
        <f t="shared" si="269"/>
        <v>37125.480000000003</v>
      </c>
      <c r="AI300" s="112">
        <f t="shared" si="269"/>
        <v>40330.008000000002</v>
      </c>
      <c r="AJ300" s="112">
        <f t="shared" si="269"/>
        <v>37194.182000000001</v>
      </c>
      <c r="AK300" s="112">
        <f t="shared" si="269"/>
        <v>39761.765999999996</v>
      </c>
      <c r="AL300" s="112">
        <f t="shared" si="269"/>
        <v>42826.996000000006</v>
      </c>
      <c r="AN300" s="111" t="s">
        <v>131</v>
      </c>
      <c r="AO300" s="113">
        <f t="shared" ref="AO300:AW300" si="291">H300/H296</f>
        <v>0.23122874928637421</v>
      </c>
      <c r="AP300" s="113">
        <f t="shared" si="291"/>
        <v>0.20056585868349661</v>
      </c>
      <c r="AQ300" s="113">
        <f t="shared" si="291"/>
        <v>0.22388637454930424</v>
      </c>
      <c r="AR300" s="113">
        <f t="shared" si="291"/>
        <v>0.23448381696808615</v>
      </c>
      <c r="AS300" s="113">
        <f t="shared" si="291"/>
        <v>0.23359782242453472</v>
      </c>
      <c r="AT300" s="113">
        <f t="shared" si="291"/>
        <v>0.24330131819216383</v>
      </c>
      <c r="AU300" s="113">
        <f t="shared" si="291"/>
        <v>0.27708433612083055</v>
      </c>
      <c r="AV300" s="113">
        <f t="shared" si="291"/>
        <v>0.25889210948696517</v>
      </c>
      <c r="AW300" s="113">
        <f t="shared" si="291"/>
        <v>0.3034998187589934</v>
      </c>
      <c r="AY300" s="111" t="s">
        <v>131</v>
      </c>
      <c r="AZ300" s="179">
        <f t="shared" si="271"/>
        <v>1.5723554951473446E-2</v>
      </c>
      <c r="BA300" s="179">
        <f t="shared" si="271"/>
        <v>1.7248663846780709E-2</v>
      </c>
      <c r="BB300" s="179">
        <f t="shared" si="271"/>
        <v>1.3880955222056863E-2</v>
      </c>
      <c r="BC300" s="179">
        <f t="shared" si="271"/>
        <v>1.1255223214468136E-2</v>
      </c>
      <c r="BD300" s="179">
        <f t="shared" si="271"/>
        <v>1.6351847569717429E-2</v>
      </c>
      <c r="BE300" s="179">
        <f t="shared" si="271"/>
        <v>1.7517694909835797E-2</v>
      </c>
      <c r="BF300" s="179">
        <f t="shared" si="271"/>
        <v>1.6070891495008174E-2</v>
      </c>
      <c r="BG300" s="179">
        <f t="shared" si="271"/>
        <v>1.70868792261397E-2</v>
      </c>
      <c r="BH300" s="179">
        <f t="shared" si="271"/>
        <v>1.8816988763057593E-2</v>
      </c>
    </row>
    <row r="301" spans="2:68" s="87" customFormat="1" x14ac:dyDescent="0.25">
      <c r="B301" s="84"/>
      <c r="C301" s="85"/>
      <c r="D301" s="85"/>
      <c r="E301" s="109" t="s">
        <v>45</v>
      </c>
      <c r="F301" s="110" t="s">
        <v>63</v>
      </c>
      <c r="G301" s="195" t="s">
        <v>7</v>
      </c>
      <c r="H301" s="69">
        <v>886144</v>
      </c>
      <c r="I301" s="69">
        <v>915793</v>
      </c>
      <c r="J301" s="69">
        <v>956183</v>
      </c>
      <c r="K301" s="69">
        <v>1030539</v>
      </c>
      <c r="L301" s="69">
        <v>1101232</v>
      </c>
      <c r="M301" s="69">
        <v>1187217</v>
      </c>
      <c r="N301" s="69">
        <v>1293629</v>
      </c>
      <c r="O301" s="69">
        <v>1397804</v>
      </c>
      <c r="P301" s="69">
        <v>1504001</v>
      </c>
      <c r="R301" s="195" t="s">
        <v>7</v>
      </c>
      <c r="S301" s="226">
        <v>0.9</v>
      </c>
      <c r="T301" s="226">
        <v>0.8</v>
      </c>
      <c r="U301" s="226">
        <v>0.8</v>
      </c>
      <c r="V301" s="226">
        <v>0.7</v>
      </c>
      <c r="W301" s="226">
        <v>0.7</v>
      </c>
      <c r="X301" s="226">
        <v>0.9</v>
      </c>
      <c r="Y301" s="226">
        <v>0.9</v>
      </c>
      <c r="Z301" s="226">
        <v>0.6</v>
      </c>
      <c r="AA301" s="226">
        <v>0.7</v>
      </c>
      <c r="AC301" s="195" t="s">
        <v>7</v>
      </c>
      <c r="AD301" s="69">
        <f t="shared" si="273"/>
        <v>15950.591999999999</v>
      </c>
      <c r="AE301" s="69">
        <f t="shared" si="269"/>
        <v>14652.688</v>
      </c>
      <c r="AF301" s="69">
        <f t="shared" si="269"/>
        <v>15298.928</v>
      </c>
      <c r="AG301" s="69">
        <f t="shared" si="269"/>
        <v>14427.545999999998</v>
      </c>
      <c r="AH301" s="69">
        <f t="shared" si="269"/>
        <v>15417.247999999998</v>
      </c>
      <c r="AI301" s="69">
        <f t="shared" si="269"/>
        <v>21369.906000000003</v>
      </c>
      <c r="AJ301" s="69">
        <f t="shared" si="269"/>
        <v>23285.322</v>
      </c>
      <c r="AK301" s="69">
        <f t="shared" si="269"/>
        <v>16773.648000000001</v>
      </c>
      <c r="AL301" s="69">
        <f t="shared" si="269"/>
        <v>21056.013999999999</v>
      </c>
      <c r="AN301" s="195" t="s">
        <v>7</v>
      </c>
      <c r="AO301" s="98">
        <f t="shared" ref="AO301:AW301" si="292">H301/H301</f>
        <v>1</v>
      </c>
      <c r="AP301" s="98">
        <f t="shared" si="292"/>
        <v>1</v>
      </c>
      <c r="AQ301" s="98">
        <f t="shared" si="292"/>
        <v>1</v>
      </c>
      <c r="AR301" s="98">
        <f t="shared" si="292"/>
        <v>1</v>
      </c>
      <c r="AS301" s="98">
        <f t="shared" si="292"/>
        <v>1</v>
      </c>
      <c r="AT301" s="98">
        <f t="shared" si="292"/>
        <v>1</v>
      </c>
      <c r="AU301" s="98">
        <f t="shared" si="292"/>
        <v>1</v>
      </c>
      <c r="AV301" s="98">
        <f t="shared" si="292"/>
        <v>1</v>
      </c>
      <c r="AW301" s="98">
        <f t="shared" si="292"/>
        <v>1</v>
      </c>
      <c r="AX301" s="191"/>
      <c r="AY301" s="195" t="s">
        <v>7</v>
      </c>
      <c r="AZ301" s="178">
        <f t="shared" si="271"/>
        <v>1.8000000000000002E-2</v>
      </c>
      <c r="BA301" s="178">
        <f t="shared" si="271"/>
        <v>1.6E-2</v>
      </c>
      <c r="BB301" s="178">
        <f t="shared" si="271"/>
        <v>1.6E-2</v>
      </c>
      <c r="BC301" s="178">
        <f t="shared" si="271"/>
        <v>1.3999999999999999E-2</v>
      </c>
      <c r="BD301" s="178">
        <f t="shared" si="271"/>
        <v>1.3999999999999999E-2</v>
      </c>
      <c r="BE301" s="178">
        <f t="shared" si="271"/>
        <v>1.8000000000000002E-2</v>
      </c>
      <c r="BF301" s="178">
        <f t="shared" si="271"/>
        <v>1.8000000000000002E-2</v>
      </c>
      <c r="BG301" s="178">
        <f t="shared" si="271"/>
        <v>1.2E-2</v>
      </c>
      <c r="BH301" s="178">
        <f t="shared" si="271"/>
        <v>1.3999999999999999E-2</v>
      </c>
      <c r="BI301" s="191"/>
      <c r="BJ301" s="191"/>
      <c r="BK301" s="191"/>
      <c r="BL301" s="191"/>
      <c r="BM301" s="191"/>
      <c r="BN301" s="191"/>
      <c r="BO301" s="191"/>
      <c r="BP301" s="191"/>
    </row>
    <row r="302" spans="2:68" s="108" customFormat="1" x14ac:dyDescent="0.25">
      <c r="B302" s="107"/>
      <c r="E302" s="109" t="s">
        <v>45</v>
      </c>
      <c r="F302" s="110" t="s">
        <v>63</v>
      </c>
      <c r="G302" s="111" t="s">
        <v>54</v>
      </c>
      <c r="H302" s="112">
        <v>125634</v>
      </c>
      <c r="I302" s="112">
        <v>116285</v>
      </c>
      <c r="J302" s="112">
        <v>120855</v>
      </c>
      <c r="K302" s="112">
        <v>126432</v>
      </c>
      <c r="L302" s="112">
        <v>124570</v>
      </c>
      <c r="M302" s="112">
        <v>116811</v>
      </c>
      <c r="N302" s="112">
        <v>135370</v>
      </c>
      <c r="O302" s="112">
        <v>148209</v>
      </c>
      <c r="P302" s="112">
        <v>169405</v>
      </c>
      <c r="R302" s="111" t="s">
        <v>54</v>
      </c>
      <c r="S302" s="220">
        <v>6.7</v>
      </c>
      <c r="T302" s="220">
        <v>7.8</v>
      </c>
      <c r="U302" s="220">
        <v>6.8</v>
      </c>
      <c r="V302" s="220">
        <v>7</v>
      </c>
      <c r="W302" s="220">
        <v>7.6</v>
      </c>
      <c r="X302" s="220">
        <v>4</v>
      </c>
      <c r="Y302" s="220">
        <v>7.2</v>
      </c>
      <c r="Z302" s="220">
        <v>7.3</v>
      </c>
      <c r="AA302" s="220">
        <v>6.5</v>
      </c>
      <c r="AC302" s="111" t="s">
        <v>54</v>
      </c>
      <c r="AD302" s="112">
        <f t="shared" si="273"/>
        <v>16834.956000000002</v>
      </c>
      <c r="AE302" s="112">
        <f t="shared" si="269"/>
        <v>18140.46</v>
      </c>
      <c r="AF302" s="112">
        <f t="shared" si="269"/>
        <v>16436.28</v>
      </c>
      <c r="AG302" s="112">
        <f t="shared" si="269"/>
        <v>17700.48</v>
      </c>
      <c r="AH302" s="112">
        <f t="shared" si="269"/>
        <v>18934.64</v>
      </c>
      <c r="AI302" s="112">
        <f t="shared" si="269"/>
        <v>9344.8799999999992</v>
      </c>
      <c r="AJ302" s="112">
        <f t="shared" si="269"/>
        <v>19493.28</v>
      </c>
      <c r="AK302" s="112">
        <f t="shared" si="269"/>
        <v>21638.513999999999</v>
      </c>
      <c r="AL302" s="112">
        <f t="shared" si="269"/>
        <v>22022.65</v>
      </c>
      <c r="AN302" s="111" t="s">
        <v>54</v>
      </c>
      <c r="AO302" s="113">
        <f t="shared" ref="AO302:AW302" si="293">H302/H301</f>
        <v>0.14177605445616062</v>
      </c>
      <c r="AP302" s="113">
        <f t="shared" si="293"/>
        <v>0.12697738462731206</v>
      </c>
      <c r="AQ302" s="113">
        <f t="shared" si="293"/>
        <v>0.12639316950834725</v>
      </c>
      <c r="AR302" s="113">
        <f t="shared" si="293"/>
        <v>0.12268531321958703</v>
      </c>
      <c r="AS302" s="113">
        <f t="shared" si="293"/>
        <v>0.11311876153253811</v>
      </c>
      <c r="AT302" s="113">
        <f t="shared" si="293"/>
        <v>9.8390605929665767E-2</v>
      </c>
      <c r="AU302" s="113">
        <f t="shared" si="293"/>
        <v>0.10464360338242262</v>
      </c>
      <c r="AV302" s="113">
        <f t="shared" si="293"/>
        <v>0.10602988687970559</v>
      </c>
      <c r="AW302" s="113">
        <f t="shared" si="293"/>
        <v>0.11263622830038011</v>
      </c>
      <c r="AY302" s="111" t="s">
        <v>54</v>
      </c>
      <c r="AZ302" s="179">
        <f t="shared" si="271"/>
        <v>1.8997991297125524E-2</v>
      </c>
      <c r="BA302" s="179">
        <f t="shared" si="271"/>
        <v>1.9808472001860682E-2</v>
      </c>
      <c r="BB302" s="179">
        <f t="shared" si="271"/>
        <v>1.7189471053135227E-2</v>
      </c>
      <c r="BC302" s="179">
        <f t="shared" si="271"/>
        <v>1.7175943850742184E-2</v>
      </c>
      <c r="BD302" s="179">
        <f t="shared" si="271"/>
        <v>1.7194051752945791E-2</v>
      </c>
      <c r="BE302" s="179">
        <f t="shared" si="271"/>
        <v>7.871248474373262E-3</v>
      </c>
      <c r="BF302" s="179">
        <f t="shared" si="271"/>
        <v>1.5068678887068858E-2</v>
      </c>
      <c r="BG302" s="179">
        <f t="shared" si="271"/>
        <v>1.5480363484437017E-2</v>
      </c>
      <c r="BH302" s="179">
        <f t="shared" si="271"/>
        <v>1.4642709679049414E-2</v>
      </c>
    </row>
    <row r="303" spans="2:68" s="108" customFormat="1" x14ac:dyDescent="0.25">
      <c r="B303" s="107"/>
      <c r="E303" s="109" t="s">
        <v>45</v>
      </c>
      <c r="F303" s="110" t="s">
        <v>63</v>
      </c>
      <c r="G303" s="111" t="s">
        <v>55</v>
      </c>
      <c r="H303" s="70">
        <v>370697</v>
      </c>
      <c r="I303" s="70">
        <v>407932</v>
      </c>
      <c r="J303" s="70">
        <v>414888</v>
      </c>
      <c r="K303" s="70">
        <v>468906</v>
      </c>
      <c r="L303" s="70">
        <v>504806</v>
      </c>
      <c r="M303" s="70">
        <v>552342</v>
      </c>
      <c r="N303" s="70">
        <v>619310</v>
      </c>
      <c r="O303" s="112">
        <v>644761</v>
      </c>
      <c r="P303" s="112">
        <v>703314</v>
      </c>
      <c r="R303" s="111" t="s">
        <v>55</v>
      </c>
      <c r="S303" s="81">
        <v>2.8</v>
      </c>
      <c r="T303" s="81">
        <v>3.2</v>
      </c>
      <c r="U303" s="81">
        <v>2.8</v>
      </c>
      <c r="V303" s="81">
        <v>3.2</v>
      </c>
      <c r="W303" s="81">
        <v>3.1</v>
      </c>
      <c r="X303" s="81">
        <v>3.2</v>
      </c>
      <c r="Y303" s="81">
        <v>3.2</v>
      </c>
      <c r="Z303" s="81">
        <v>3.1</v>
      </c>
      <c r="AA303" s="81">
        <v>3.1</v>
      </c>
      <c r="AC303" s="111" t="s">
        <v>55</v>
      </c>
      <c r="AD303" s="70">
        <f t="shared" si="273"/>
        <v>20759.031999999999</v>
      </c>
      <c r="AE303" s="70">
        <f t="shared" si="269"/>
        <v>26107.648000000001</v>
      </c>
      <c r="AF303" s="70">
        <f t="shared" si="269"/>
        <v>23233.727999999999</v>
      </c>
      <c r="AG303" s="70">
        <f t="shared" si="269"/>
        <v>30009.984000000004</v>
      </c>
      <c r="AH303" s="70">
        <f t="shared" si="269"/>
        <v>31297.972000000002</v>
      </c>
      <c r="AI303" s="70">
        <f t="shared" si="269"/>
        <v>35349.888000000006</v>
      </c>
      <c r="AJ303" s="70">
        <f t="shared" si="269"/>
        <v>39635.839999999997</v>
      </c>
      <c r="AK303" s="70">
        <f t="shared" si="269"/>
        <v>39975.182000000001</v>
      </c>
      <c r="AL303" s="70">
        <f t="shared" si="269"/>
        <v>43605.468000000001</v>
      </c>
      <c r="AN303" s="111" t="s">
        <v>55</v>
      </c>
      <c r="AO303" s="113">
        <f t="shared" ref="AO303:AW303" si="294">H303/H301</f>
        <v>0.41832591542683806</v>
      </c>
      <c r="AP303" s="113">
        <f t="shared" si="294"/>
        <v>0.44544127330084421</v>
      </c>
      <c r="AQ303" s="113">
        <f t="shared" si="294"/>
        <v>0.43390020529542983</v>
      </c>
      <c r="AR303" s="113">
        <f t="shared" si="294"/>
        <v>0.45501043628625409</v>
      </c>
      <c r="AS303" s="113">
        <f t="shared" si="294"/>
        <v>0.45840113618202161</v>
      </c>
      <c r="AT303" s="113">
        <f t="shared" si="294"/>
        <v>0.46524097953449117</v>
      </c>
      <c r="AU303" s="113">
        <f t="shared" si="294"/>
        <v>0.47873849457611106</v>
      </c>
      <c r="AV303" s="113">
        <f t="shared" si="294"/>
        <v>0.46126710182543473</v>
      </c>
      <c r="AW303" s="113">
        <f t="shared" si="294"/>
        <v>0.46762867843837869</v>
      </c>
      <c r="AY303" s="111" t="s">
        <v>55</v>
      </c>
      <c r="AZ303" s="179">
        <f t="shared" si="271"/>
        <v>2.3426251263902929E-2</v>
      </c>
      <c r="BA303" s="179">
        <f t="shared" si="271"/>
        <v>2.8508241491254031E-2</v>
      </c>
      <c r="BB303" s="179">
        <f t="shared" si="271"/>
        <v>2.4298411496544069E-2</v>
      </c>
      <c r="BC303" s="179">
        <f t="shared" si="271"/>
        <v>2.9120667922320265E-2</v>
      </c>
      <c r="BD303" s="179">
        <f t="shared" si="271"/>
        <v>2.842087044328534E-2</v>
      </c>
      <c r="BE303" s="179">
        <f t="shared" si="271"/>
        <v>2.9775422690207436E-2</v>
      </c>
      <c r="BF303" s="179">
        <f t="shared" si="271"/>
        <v>3.0639263652871111E-2</v>
      </c>
      <c r="BG303" s="179">
        <f t="shared" si="271"/>
        <v>2.8598560313176952E-2</v>
      </c>
      <c r="BH303" s="179">
        <f t="shared" si="271"/>
        <v>2.8992978063179478E-2</v>
      </c>
    </row>
    <row r="304" spans="2:68" s="108" customFormat="1" x14ac:dyDescent="0.25">
      <c r="B304" s="107"/>
      <c r="E304" s="109" t="s">
        <v>45</v>
      </c>
      <c r="F304" s="110" t="s">
        <v>63</v>
      </c>
      <c r="G304" s="111" t="s">
        <v>130</v>
      </c>
      <c r="H304" s="70">
        <v>78633</v>
      </c>
      <c r="I304" s="70">
        <v>90681</v>
      </c>
      <c r="J304" s="70">
        <v>113702</v>
      </c>
      <c r="K304" s="70">
        <v>97752</v>
      </c>
      <c r="L304" s="70">
        <v>114005</v>
      </c>
      <c r="M304" s="70">
        <v>125158</v>
      </c>
      <c r="N304" s="70">
        <v>150231</v>
      </c>
      <c r="O304" s="112">
        <v>187999</v>
      </c>
      <c r="P304" s="112">
        <v>192562</v>
      </c>
      <c r="R304" s="111" t="s">
        <v>130</v>
      </c>
      <c r="S304" s="220">
        <v>8.6</v>
      </c>
      <c r="T304" s="220">
        <v>8.3000000000000007</v>
      </c>
      <c r="U304" s="220">
        <v>6.6</v>
      </c>
      <c r="V304" s="220">
        <v>8.1999999999999993</v>
      </c>
      <c r="W304" s="220">
        <v>8.5</v>
      </c>
      <c r="X304" s="220">
        <v>8.9</v>
      </c>
      <c r="Y304" s="220">
        <v>7.2</v>
      </c>
      <c r="Z304" s="220">
        <v>6.5</v>
      </c>
      <c r="AA304" s="220">
        <v>6.5</v>
      </c>
      <c r="AC304" s="111" t="s">
        <v>130</v>
      </c>
      <c r="AD304" s="70">
        <f t="shared" si="273"/>
        <v>13524.875999999998</v>
      </c>
      <c r="AE304" s="70">
        <f t="shared" si="269"/>
        <v>15053.046</v>
      </c>
      <c r="AF304" s="70">
        <f t="shared" si="269"/>
        <v>15008.663999999999</v>
      </c>
      <c r="AG304" s="70">
        <f t="shared" si="269"/>
        <v>16031.327999999998</v>
      </c>
      <c r="AH304" s="70">
        <f t="shared" si="269"/>
        <v>19380.849999999999</v>
      </c>
      <c r="AI304" s="70">
        <f t="shared" si="269"/>
        <v>22278.124</v>
      </c>
      <c r="AJ304" s="70">
        <f t="shared" si="269"/>
        <v>21633.263999999999</v>
      </c>
      <c r="AK304" s="70">
        <f t="shared" si="269"/>
        <v>24439.87</v>
      </c>
      <c r="AL304" s="70">
        <f t="shared" si="269"/>
        <v>25033.06</v>
      </c>
      <c r="AN304" s="111" t="s">
        <v>130</v>
      </c>
      <c r="AO304" s="113">
        <f t="shared" ref="AO304:AW304" si="295">H304/H301</f>
        <v>8.8736142207135632E-2</v>
      </c>
      <c r="AP304" s="113">
        <f t="shared" si="295"/>
        <v>9.9019101478172472E-2</v>
      </c>
      <c r="AQ304" s="113">
        <f t="shared" si="295"/>
        <v>0.1189123839265078</v>
      </c>
      <c r="AR304" s="113">
        <f t="shared" si="295"/>
        <v>9.4855216542023155E-2</v>
      </c>
      <c r="AS304" s="113">
        <f t="shared" si="295"/>
        <v>0.10352496113443851</v>
      </c>
      <c r="AT304" s="113">
        <f t="shared" si="295"/>
        <v>0.10542133409477795</v>
      </c>
      <c r="AU304" s="113">
        <f t="shared" si="295"/>
        <v>0.11613144108550442</v>
      </c>
      <c r="AV304" s="113">
        <f t="shared" si="295"/>
        <v>0.13449596653035761</v>
      </c>
      <c r="AW304" s="113">
        <f t="shared" si="295"/>
        <v>0.12803315955242051</v>
      </c>
      <c r="AY304" s="111" t="s">
        <v>130</v>
      </c>
      <c r="AZ304" s="179">
        <f t="shared" si="271"/>
        <v>1.5262616459627327E-2</v>
      </c>
      <c r="BA304" s="179">
        <f t="shared" si="271"/>
        <v>1.6437170845376631E-2</v>
      </c>
      <c r="BB304" s="179">
        <f t="shared" si="271"/>
        <v>1.569643467829903E-2</v>
      </c>
      <c r="BC304" s="179">
        <f t="shared" si="271"/>
        <v>1.5556255512891796E-2</v>
      </c>
      <c r="BD304" s="179">
        <f t="shared" si="271"/>
        <v>1.7599243392854548E-2</v>
      </c>
      <c r="BE304" s="179">
        <f t="shared" si="271"/>
        <v>1.8764997468870476E-2</v>
      </c>
      <c r="BF304" s="179">
        <f t="shared" si="271"/>
        <v>1.6722927516312637E-2</v>
      </c>
      <c r="BG304" s="179">
        <f t="shared" si="271"/>
        <v>1.748447564894649E-2</v>
      </c>
      <c r="BH304" s="179">
        <f t="shared" si="271"/>
        <v>1.6644310741814664E-2</v>
      </c>
    </row>
    <row r="305" spans="2:68" s="108" customFormat="1" x14ac:dyDescent="0.25">
      <c r="B305" s="107"/>
      <c r="E305" s="109" t="s">
        <v>45</v>
      </c>
      <c r="F305" s="110" t="s">
        <v>63</v>
      </c>
      <c r="G305" s="111" t="s">
        <v>131</v>
      </c>
      <c r="H305" s="112">
        <v>311180</v>
      </c>
      <c r="I305" s="112">
        <v>299961</v>
      </c>
      <c r="J305" s="112">
        <v>305762</v>
      </c>
      <c r="K305" s="112">
        <v>334912</v>
      </c>
      <c r="L305" s="112">
        <v>357852</v>
      </c>
      <c r="M305" s="112">
        <v>392906</v>
      </c>
      <c r="N305" s="112">
        <v>388718</v>
      </c>
      <c r="O305" s="112">
        <v>416835</v>
      </c>
      <c r="P305" s="112">
        <v>438720</v>
      </c>
      <c r="R305" s="111" t="s">
        <v>131</v>
      </c>
      <c r="S305" s="220">
        <v>4.3</v>
      </c>
      <c r="T305" s="220">
        <v>4.4000000000000004</v>
      </c>
      <c r="U305" s="220">
        <v>3.3</v>
      </c>
      <c r="V305" s="220">
        <v>4</v>
      </c>
      <c r="W305" s="220">
        <v>4</v>
      </c>
      <c r="X305" s="220">
        <v>4.5</v>
      </c>
      <c r="Y305" s="220">
        <v>3.9</v>
      </c>
      <c r="Z305" s="220">
        <v>3.6</v>
      </c>
      <c r="AA305" s="220">
        <v>3.7</v>
      </c>
      <c r="AC305" s="111" t="s">
        <v>131</v>
      </c>
      <c r="AD305" s="112">
        <f t="shared" si="273"/>
        <v>26761.48</v>
      </c>
      <c r="AE305" s="112">
        <f t="shared" si="269"/>
        <v>26396.568000000003</v>
      </c>
      <c r="AF305" s="112">
        <f t="shared" si="269"/>
        <v>20180.292000000001</v>
      </c>
      <c r="AG305" s="112">
        <f t="shared" si="269"/>
        <v>26792.959999999999</v>
      </c>
      <c r="AH305" s="112">
        <f t="shared" si="269"/>
        <v>28628.16</v>
      </c>
      <c r="AI305" s="112">
        <f t="shared" si="269"/>
        <v>35361.54</v>
      </c>
      <c r="AJ305" s="112">
        <f t="shared" si="269"/>
        <v>30320.004000000001</v>
      </c>
      <c r="AK305" s="112">
        <f t="shared" si="269"/>
        <v>30012.12</v>
      </c>
      <c r="AL305" s="112">
        <f t="shared" si="269"/>
        <v>32465.279999999999</v>
      </c>
      <c r="AN305" s="111" t="s">
        <v>131</v>
      </c>
      <c r="AO305" s="113">
        <f t="shared" ref="AO305:AW305" si="296">H305/H301</f>
        <v>0.35116188790986569</v>
      </c>
      <c r="AP305" s="113">
        <f t="shared" si="296"/>
        <v>0.32754235946332849</v>
      </c>
      <c r="AQ305" s="113">
        <f t="shared" si="296"/>
        <v>0.31977351615747196</v>
      </c>
      <c r="AR305" s="113">
        <f t="shared" si="296"/>
        <v>0.32498721542804299</v>
      </c>
      <c r="AS305" s="113">
        <f t="shared" si="296"/>
        <v>0.32495604922486815</v>
      </c>
      <c r="AT305" s="113">
        <f t="shared" si="296"/>
        <v>0.33094708044106513</v>
      </c>
      <c r="AU305" s="113">
        <f t="shared" si="296"/>
        <v>0.30048646095596188</v>
      </c>
      <c r="AV305" s="113">
        <f t="shared" si="296"/>
        <v>0.29820704476450205</v>
      </c>
      <c r="AW305" s="113">
        <f t="shared" si="296"/>
        <v>0.29170193370882069</v>
      </c>
      <c r="AY305" s="111" t="s">
        <v>131</v>
      </c>
      <c r="AZ305" s="179">
        <f t="shared" si="271"/>
        <v>3.0199922360248446E-2</v>
      </c>
      <c r="BA305" s="179">
        <f t="shared" si="271"/>
        <v>2.8823727632772907E-2</v>
      </c>
      <c r="BB305" s="179">
        <f t="shared" si="271"/>
        <v>2.1105052066393147E-2</v>
      </c>
      <c r="BC305" s="179">
        <f t="shared" si="271"/>
        <v>2.599897723424344E-2</v>
      </c>
      <c r="BD305" s="179">
        <f t="shared" si="271"/>
        <v>2.5996483937989451E-2</v>
      </c>
      <c r="BE305" s="179">
        <f t="shared" si="271"/>
        <v>2.978523723969586E-2</v>
      </c>
      <c r="BF305" s="179">
        <f t="shared" si="271"/>
        <v>2.3437943954565027E-2</v>
      </c>
      <c r="BG305" s="179">
        <f t="shared" si="271"/>
        <v>2.147090722304415E-2</v>
      </c>
      <c r="BH305" s="179">
        <f t="shared" si="271"/>
        <v>2.1585943094452734E-2</v>
      </c>
    </row>
    <row r="306" spans="2:68" s="87" customFormat="1" x14ac:dyDescent="0.25">
      <c r="B306" s="84"/>
      <c r="C306" s="85"/>
      <c r="D306" s="85"/>
      <c r="E306" s="109" t="s">
        <v>46</v>
      </c>
      <c r="F306" s="110" t="s">
        <v>63</v>
      </c>
      <c r="G306" s="195" t="s">
        <v>7</v>
      </c>
      <c r="H306" s="69">
        <v>6216724</v>
      </c>
      <c r="I306" s="69">
        <v>6347862</v>
      </c>
      <c r="J306" s="69">
        <v>6467616</v>
      </c>
      <c r="K306" s="69">
        <v>6598140</v>
      </c>
      <c r="L306" s="69">
        <v>6712853</v>
      </c>
      <c r="M306" s="69">
        <v>6828260</v>
      </c>
      <c r="N306" s="69">
        <v>6964711</v>
      </c>
      <c r="O306" s="69">
        <v>7057532</v>
      </c>
      <c r="P306" s="69">
        <v>7158334</v>
      </c>
      <c r="R306" s="195" t="s">
        <v>7</v>
      </c>
      <c r="S306" s="226">
        <v>0.3</v>
      </c>
      <c r="T306" s="226">
        <v>0.4</v>
      </c>
      <c r="U306" s="226">
        <v>0.3</v>
      </c>
      <c r="V306" s="226">
        <v>0.4</v>
      </c>
      <c r="W306" s="226">
        <v>0.4</v>
      </c>
      <c r="X306" s="226">
        <v>0.4</v>
      </c>
      <c r="Y306" s="226">
        <v>0.4</v>
      </c>
      <c r="Z306" s="226">
        <v>0.4</v>
      </c>
      <c r="AA306" s="226">
        <v>0.3</v>
      </c>
      <c r="AC306" s="195" t="s">
        <v>7</v>
      </c>
      <c r="AD306" s="69">
        <f t="shared" si="273"/>
        <v>37300.343999999997</v>
      </c>
      <c r="AE306" s="69">
        <f t="shared" si="269"/>
        <v>50782.896000000008</v>
      </c>
      <c r="AF306" s="69">
        <f t="shared" si="269"/>
        <v>38805.695999999996</v>
      </c>
      <c r="AG306" s="69">
        <f t="shared" si="269"/>
        <v>52785.120000000003</v>
      </c>
      <c r="AH306" s="69">
        <f t="shared" si="269"/>
        <v>53702.824000000001</v>
      </c>
      <c r="AI306" s="69">
        <f t="shared" si="269"/>
        <v>54626.080000000002</v>
      </c>
      <c r="AJ306" s="69">
        <f t="shared" si="269"/>
        <v>55717.688000000009</v>
      </c>
      <c r="AK306" s="69">
        <f t="shared" si="269"/>
        <v>56460.256000000008</v>
      </c>
      <c r="AL306" s="69">
        <f t="shared" si="269"/>
        <v>42950.003999999994</v>
      </c>
      <c r="AN306" s="195" t="s">
        <v>7</v>
      </c>
      <c r="AO306" s="98">
        <f t="shared" ref="AO306:AW306" si="297">H306/H306</f>
        <v>1</v>
      </c>
      <c r="AP306" s="98">
        <f t="shared" si="297"/>
        <v>1</v>
      </c>
      <c r="AQ306" s="98">
        <f t="shared" si="297"/>
        <v>1</v>
      </c>
      <c r="AR306" s="98">
        <f t="shared" si="297"/>
        <v>1</v>
      </c>
      <c r="AS306" s="98">
        <f t="shared" si="297"/>
        <v>1</v>
      </c>
      <c r="AT306" s="98">
        <f t="shared" si="297"/>
        <v>1</v>
      </c>
      <c r="AU306" s="98">
        <f t="shared" si="297"/>
        <v>1</v>
      </c>
      <c r="AV306" s="98">
        <f t="shared" si="297"/>
        <v>1</v>
      </c>
      <c r="AW306" s="98">
        <f t="shared" si="297"/>
        <v>1</v>
      </c>
      <c r="AX306" s="191"/>
      <c r="AY306" s="195" t="s">
        <v>7</v>
      </c>
      <c r="AZ306" s="178">
        <f t="shared" si="271"/>
        <v>6.0000000000000001E-3</v>
      </c>
      <c r="BA306" s="178">
        <f t="shared" si="271"/>
        <v>8.0000000000000002E-3</v>
      </c>
      <c r="BB306" s="178">
        <f t="shared" si="271"/>
        <v>6.0000000000000001E-3</v>
      </c>
      <c r="BC306" s="178">
        <f t="shared" si="271"/>
        <v>8.0000000000000002E-3</v>
      </c>
      <c r="BD306" s="178">
        <f t="shared" si="271"/>
        <v>8.0000000000000002E-3</v>
      </c>
      <c r="BE306" s="178">
        <f t="shared" si="271"/>
        <v>8.0000000000000002E-3</v>
      </c>
      <c r="BF306" s="178">
        <f t="shared" si="271"/>
        <v>8.0000000000000002E-3</v>
      </c>
      <c r="BG306" s="178">
        <f t="shared" si="271"/>
        <v>8.0000000000000002E-3</v>
      </c>
      <c r="BH306" s="178">
        <f t="shared" si="271"/>
        <v>6.0000000000000001E-3</v>
      </c>
      <c r="BI306" s="191"/>
      <c r="BJ306" s="191"/>
      <c r="BK306" s="191"/>
      <c r="BL306" s="191"/>
      <c r="BM306" s="191"/>
      <c r="BN306" s="191"/>
      <c r="BO306" s="191"/>
      <c r="BP306" s="191"/>
    </row>
    <row r="307" spans="2:68" s="108" customFormat="1" x14ac:dyDescent="0.25">
      <c r="B307" s="107"/>
      <c r="E307" s="109" t="s">
        <v>46</v>
      </c>
      <c r="F307" s="110" t="s">
        <v>63</v>
      </c>
      <c r="G307" s="111" t="s">
        <v>54</v>
      </c>
      <c r="H307" s="112">
        <v>1830865</v>
      </c>
      <c r="I307" s="112">
        <v>1639343</v>
      </c>
      <c r="J307" s="112">
        <v>1576386</v>
      </c>
      <c r="K307" s="112">
        <v>1594257</v>
      </c>
      <c r="L307" s="112">
        <v>1532089</v>
      </c>
      <c r="M307" s="112">
        <v>1523724</v>
      </c>
      <c r="N307" s="112">
        <v>1422056</v>
      </c>
      <c r="O307" s="112">
        <v>1295663</v>
      </c>
      <c r="P307" s="112">
        <v>1279607</v>
      </c>
      <c r="R307" s="111" t="s">
        <v>54</v>
      </c>
      <c r="S307" s="220">
        <v>1.7</v>
      </c>
      <c r="T307" s="220">
        <v>1.8</v>
      </c>
      <c r="U307" s="220">
        <v>1.8</v>
      </c>
      <c r="V307" s="220">
        <v>1.5</v>
      </c>
      <c r="W307" s="220">
        <v>1.7</v>
      </c>
      <c r="X307" s="220">
        <v>2.1</v>
      </c>
      <c r="Y307" s="220">
        <v>2.1</v>
      </c>
      <c r="Z307" s="220">
        <v>2.6</v>
      </c>
      <c r="AA307" s="220">
        <v>2.5</v>
      </c>
      <c r="AC307" s="111" t="s">
        <v>54</v>
      </c>
      <c r="AD307" s="112">
        <f t="shared" si="273"/>
        <v>62249.41</v>
      </c>
      <c r="AE307" s="112">
        <f t="shared" si="269"/>
        <v>59016.347999999998</v>
      </c>
      <c r="AF307" s="112">
        <f t="shared" si="269"/>
        <v>56749.896000000008</v>
      </c>
      <c r="AG307" s="112">
        <f t="shared" si="269"/>
        <v>47827.71</v>
      </c>
      <c r="AH307" s="112">
        <f t="shared" si="269"/>
        <v>52091.025999999998</v>
      </c>
      <c r="AI307" s="112">
        <f t="shared" si="269"/>
        <v>63996.407999999996</v>
      </c>
      <c r="AJ307" s="112">
        <f t="shared" si="269"/>
        <v>59726.351999999999</v>
      </c>
      <c r="AK307" s="112">
        <f t="shared" si="269"/>
        <v>67374.47600000001</v>
      </c>
      <c r="AL307" s="112">
        <f t="shared" si="269"/>
        <v>63980.35</v>
      </c>
      <c r="AN307" s="111" t="s">
        <v>54</v>
      </c>
      <c r="AO307" s="113">
        <f t="shared" ref="AO307:AW307" si="298">H307/H306</f>
        <v>0.29450639919031307</v>
      </c>
      <c r="AP307" s="113">
        <f t="shared" si="298"/>
        <v>0.25825120331853463</v>
      </c>
      <c r="AQ307" s="113">
        <f t="shared" si="298"/>
        <v>0.24373524958810169</v>
      </c>
      <c r="AR307" s="113">
        <f t="shared" si="298"/>
        <v>0.24162218443379499</v>
      </c>
      <c r="AS307" s="113">
        <f t="shared" si="298"/>
        <v>0.22823216894515641</v>
      </c>
      <c r="AT307" s="113">
        <f t="shared" si="298"/>
        <v>0.22314967502702007</v>
      </c>
      <c r="AU307" s="113">
        <f t="shared" si="298"/>
        <v>0.20418018780678768</v>
      </c>
      <c r="AV307" s="113">
        <f t="shared" si="298"/>
        <v>0.18358584842406667</v>
      </c>
      <c r="AW307" s="113">
        <f t="shared" si="298"/>
        <v>0.17875765506331501</v>
      </c>
      <c r="AY307" s="111" t="s">
        <v>54</v>
      </c>
      <c r="AZ307" s="179">
        <f t="shared" si="271"/>
        <v>1.0013217572470645E-2</v>
      </c>
      <c r="BA307" s="179">
        <f t="shared" si="271"/>
        <v>9.2970433194672457E-3</v>
      </c>
      <c r="BB307" s="179">
        <f t="shared" si="271"/>
        <v>8.7744689851716601E-3</v>
      </c>
      <c r="BC307" s="179">
        <f t="shared" si="271"/>
        <v>7.2486655330138497E-3</v>
      </c>
      <c r="BD307" s="179">
        <f t="shared" si="271"/>
        <v>7.7598937441353179E-3</v>
      </c>
      <c r="BE307" s="179">
        <f t="shared" si="271"/>
        <v>9.3722863511348439E-3</v>
      </c>
      <c r="BF307" s="179">
        <f t="shared" si="271"/>
        <v>8.5755678878850824E-3</v>
      </c>
      <c r="BG307" s="179">
        <f t="shared" si="271"/>
        <v>9.5464641180514672E-3</v>
      </c>
      <c r="BH307" s="179">
        <f t="shared" si="271"/>
        <v>8.9378827531657497E-3</v>
      </c>
    </row>
    <row r="308" spans="2:68" s="108" customFormat="1" x14ac:dyDescent="0.25">
      <c r="B308" s="107"/>
      <c r="E308" s="109" t="s">
        <v>46</v>
      </c>
      <c r="F308" s="110" t="s">
        <v>63</v>
      </c>
      <c r="G308" s="111" t="s">
        <v>55</v>
      </c>
      <c r="H308" s="70">
        <v>1641896</v>
      </c>
      <c r="I308" s="70">
        <v>1871116</v>
      </c>
      <c r="J308" s="70">
        <v>1776598</v>
      </c>
      <c r="K308" s="70">
        <v>1863889</v>
      </c>
      <c r="L308" s="70">
        <v>1936077</v>
      </c>
      <c r="M308" s="70">
        <v>1925670</v>
      </c>
      <c r="N308" s="70">
        <v>1940170</v>
      </c>
      <c r="O308" s="112">
        <v>2016458</v>
      </c>
      <c r="P308" s="112">
        <v>2036406</v>
      </c>
      <c r="R308" s="111" t="s">
        <v>55</v>
      </c>
      <c r="S308" s="81">
        <v>1.7</v>
      </c>
      <c r="T308" s="81">
        <v>1.8</v>
      </c>
      <c r="U308" s="81">
        <v>1.8</v>
      </c>
      <c r="V308" s="81">
        <v>1.8</v>
      </c>
      <c r="W308" s="81">
        <v>1.7</v>
      </c>
      <c r="X308" s="81">
        <v>2.1</v>
      </c>
      <c r="Y308" s="81">
        <v>1.8</v>
      </c>
      <c r="Z308" s="81">
        <v>1.7</v>
      </c>
      <c r="AA308" s="81">
        <v>1.2</v>
      </c>
      <c r="AC308" s="111" t="s">
        <v>55</v>
      </c>
      <c r="AD308" s="70">
        <f t="shared" si="273"/>
        <v>55824.463999999993</v>
      </c>
      <c r="AE308" s="70">
        <f t="shared" si="269"/>
        <v>67360.176000000007</v>
      </c>
      <c r="AF308" s="70">
        <f t="shared" si="269"/>
        <v>63957.527999999998</v>
      </c>
      <c r="AG308" s="70">
        <f t="shared" si="269"/>
        <v>67100.004000000001</v>
      </c>
      <c r="AH308" s="70">
        <f t="shared" si="269"/>
        <v>65826.618000000002</v>
      </c>
      <c r="AI308" s="70">
        <f t="shared" si="269"/>
        <v>80878.14</v>
      </c>
      <c r="AJ308" s="70">
        <f t="shared" si="269"/>
        <v>69846.12</v>
      </c>
      <c r="AK308" s="70">
        <f t="shared" si="269"/>
        <v>68559.572</v>
      </c>
      <c r="AL308" s="70">
        <f t="shared" si="269"/>
        <v>48873.743999999992</v>
      </c>
      <c r="AN308" s="111" t="s">
        <v>55</v>
      </c>
      <c r="AO308" s="113">
        <f t="shared" ref="AO308:AW308" si="299">H308/H306</f>
        <v>0.26410952134918647</v>
      </c>
      <c r="AP308" s="113">
        <f t="shared" si="299"/>
        <v>0.2947631816822735</v>
      </c>
      <c r="AQ308" s="113">
        <f t="shared" si="299"/>
        <v>0.27469132366547427</v>
      </c>
      <c r="AR308" s="113">
        <f t="shared" si="299"/>
        <v>0.28248703422479671</v>
      </c>
      <c r="AS308" s="113">
        <f t="shared" si="299"/>
        <v>0.28841343613512765</v>
      </c>
      <c r="AT308" s="113">
        <f t="shared" si="299"/>
        <v>0.28201474460550713</v>
      </c>
      <c r="AU308" s="113">
        <f t="shared" si="299"/>
        <v>0.27857150138749476</v>
      </c>
      <c r="AV308" s="113">
        <f t="shared" si="299"/>
        <v>0.28571716004971709</v>
      </c>
      <c r="AW308" s="113">
        <f t="shared" si="299"/>
        <v>0.2844804391636378</v>
      </c>
      <c r="AY308" s="111" t="s">
        <v>55</v>
      </c>
      <c r="AZ308" s="179">
        <f t="shared" si="271"/>
        <v>8.9797237258723399E-3</v>
      </c>
      <c r="BA308" s="179">
        <f t="shared" si="271"/>
        <v>1.0611474540561848E-2</v>
      </c>
      <c r="BB308" s="179">
        <f t="shared" si="271"/>
        <v>9.8888876519570741E-3</v>
      </c>
      <c r="BC308" s="179">
        <f t="shared" si="271"/>
        <v>1.0169533232092682E-2</v>
      </c>
      <c r="BD308" s="179">
        <f t="shared" si="271"/>
        <v>9.8060568285943395E-3</v>
      </c>
      <c r="BE308" s="179">
        <f t="shared" si="271"/>
        <v>1.1844619273431301E-2</v>
      </c>
      <c r="BF308" s="179">
        <f t="shared" si="271"/>
        <v>1.0028574049949812E-2</v>
      </c>
      <c r="BG308" s="179">
        <f t="shared" si="271"/>
        <v>9.7143834416903805E-3</v>
      </c>
      <c r="BH308" s="179">
        <f t="shared" si="271"/>
        <v>6.8275305399273069E-3</v>
      </c>
    </row>
    <row r="309" spans="2:68" s="108" customFormat="1" x14ac:dyDescent="0.25">
      <c r="B309" s="107"/>
      <c r="E309" s="109" t="s">
        <v>46</v>
      </c>
      <c r="F309" s="110" t="s">
        <v>63</v>
      </c>
      <c r="G309" s="111" t="s">
        <v>130</v>
      </c>
      <c r="H309" s="70">
        <v>696151</v>
      </c>
      <c r="I309" s="70">
        <v>820135</v>
      </c>
      <c r="J309" s="70">
        <v>895774</v>
      </c>
      <c r="K309" s="70">
        <v>771659</v>
      </c>
      <c r="L309" s="70">
        <v>774908</v>
      </c>
      <c r="M309" s="70">
        <v>850394</v>
      </c>
      <c r="N309" s="70">
        <v>912933</v>
      </c>
      <c r="O309" s="112">
        <v>1010766</v>
      </c>
      <c r="P309" s="112">
        <v>963323</v>
      </c>
      <c r="R309" s="111" t="s">
        <v>130</v>
      </c>
      <c r="S309" s="220">
        <v>3.3</v>
      </c>
      <c r="T309" s="220">
        <v>2.8</v>
      </c>
      <c r="U309" s="220">
        <v>2.7</v>
      </c>
      <c r="V309" s="220">
        <v>2.8</v>
      </c>
      <c r="W309" s="220">
        <v>3</v>
      </c>
      <c r="X309" s="220">
        <v>3.1</v>
      </c>
      <c r="Y309" s="220">
        <v>2.8</v>
      </c>
      <c r="Z309" s="220">
        <v>2.6</v>
      </c>
      <c r="AA309" s="220">
        <v>2.9</v>
      </c>
      <c r="AC309" s="111" t="s">
        <v>130</v>
      </c>
      <c r="AD309" s="70">
        <f t="shared" si="273"/>
        <v>45945.965999999993</v>
      </c>
      <c r="AE309" s="70">
        <f t="shared" si="269"/>
        <v>45927.56</v>
      </c>
      <c r="AF309" s="70">
        <f t="shared" si="269"/>
        <v>48371.796000000002</v>
      </c>
      <c r="AG309" s="70">
        <f t="shared" si="269"/>
        <v>43212.903999999995</v>
      </c>
      <c r="AH309" s="70">
        <f t="shared" si="269"/>
        <v>46494.48</v>
      </c>
      <c r="AI309" s="70">
        <f t="shared" si="269"/>
        <v>52724.428</v>
      </c>
      <c r="AJ309" s="70">
        <f t="shared" si="269"/>
        <v>51124.248</v>
      </c>
      <c r="AK309" s="70">
        <f t="shared" si="269"/>
        <v>52559.832000000002</v>
      </c>
      <c r="AL309" s="70">
        <f t="shared" si="269"/>
        <v>55872.733999999997</v>
      </c>
      <c r="AN309" s="111" t="s">
        <v>130</v>
      </c>
      <c r="AO309" s="113">
        <f t="shared" ref="AO309:AW309" si="300">H309/H306</f>
        <v>0.11198036136074241</v>
      </c>
      <c r="AP309" s="113">
        <f t="shared" si="300"/>
        <v>0.12919861836946045</v>
      </c>
      <c r="AQ309" s="113">
        <f t="shared" si="300"/>
        <v>0.13850141999772406</v>
      </c>
      <c r="AR309" s="113">
        <f t="shared" si="300"/>
        <v>0.11695098921817361</v>
      </c>
      <c r="AS309" s="113">
        <f t="shared" si="300"/>
        <v>0.11543646196334108</v>
      </c>
      <c r="AT309" s="113">
        <f t="shared" si="300"/>
        <v>0.1245403660669043</v>
      </c>
      <c r="AU309" s="113">
        <f t="shared" si="300"/>
        <v>0.13107981077750391</v>
      </c>
      <c r="AV309" s="113">
        <f t="shared" si="300"/>
        <v>0.14321805412997066</v>
      </c>
      <c r="AW309" s="113">
        <f t="shared" si="300"/>
        <v>0.13457363123877708</v>
      </c>
      <c r="AY309" s="111" t="s">
        <v>130</v>
      </c>
      <c r="AZ309" s="179">
        <f t="shared" si="271"/>
        <v>7.3907038498089985E-3</v>
      </c>
      <c r="BA309" s="179">
        <f t="shared" si="271"/>
        <v>7.2351226286897852E-3</v>
      </c>
      <c r="BB309" s="179">
        <f t="shared" si="271"/>
        <v>7.4790766798770994E-3</v>
      </c>
      <c r="BC309" s="179">
        <f t="shared" ref="BC309:BH320" si="301">2*(V309*AR309/100)</f>
        <v>6.5492553962177213E-3</v>
      </c>
      <c r="BD309" s="179">
        <f t="shared" si="301"/>
        <v>6.9261877178004652E-3</v>
      </c>
      <c r="BE309" s="179">
        <f t="shared" si="301"/>
        <v>7.721502696148067E-3</v>
      </c>
      <c r="BF309" s="179">
        <f t="shared" si="301"/>
        <v>7.3404694035402182E-3</v>
      </c>
      <c r="BG309" s="179">
        <f t="shared" si="301"/>
        <v>7.4473388147584738E-3</v>
      </c>
      <c r="BH309" s="179">
        <f t="shared" si="301"/>
        <v>7.8052706118490701E-3</v>
      </c>
    </row>
    <row r="310" spans="2:68" s="108" customFormat="1" x14ac:dyDescent="0.25">
      <c r="B310" s="107"/>
      <c r="E310" s="109" t="s">
        <v>46</v>
      </c>
      <c r="F310" s="110" t="s">
        <v>63</v>
      </c>
      <c r="G310" s="111" t="s">
        <v>131</v>
      </c>
      <c r="H310" s="112">
        <v>2037477</v>
      </c>
      <c r="I310" s="112">
        <v>1984803</v>
      </c>
      <c r="J310" s="112">
        <v>2207629</v>
      </c>
      <c r="K310" s="112">
        <v>2347926</v>
      </c>
      <c r="L310" s="112">
        <v>2442434</v>
      </c>
      <c r="M310" s="112">
        <v>2497745</v>
      </c>
      <c r="N310" s="112">
        <v>2661127</v>
      </c>
      <c r="O310" s="112">
        <v>2734645</v>
      </c>
      <c r="P310" s="112">
        <v>2878998</v>
      </c>
      <c r="R310" s="111" t="s">
        <v>131</v>
      </c>
      <c r="S310" s="220">
        <v>1.4</v>
      </c>
      <c r="T310" s="220">
        <v>1.8</v>
      </c>
      <c r="U310" s="220">
        <v>1.5</v>
      </c>
      <c r="V310" s="220">
        <v>1.5</v>
      </c>
      <c r="W310" s="220">
        <v>1.7</v>
      </c>
      <c r="X310" s="220">
        <v>1.7</v>
      </c>
      <c r="Y310" s="220">
        <v>1.3</v>
      </c>
      <c r="Z310" s="220">
        <v>1.7</v>
      </c>
      <c r="AA310" s="220">
        <v>1.2</v>
      </c>
      <c r="AC310" s="111" t="s">
        <v>131</v>
      </c>
      <c r="AD310" s="112">
        <f t="shared" si="273"/>
        <v>57049.356</v>
      </c>
      <c r="AE310" s="112">
        <f t="shared" si="269"/>
        <v>71452.907999999996</v>
      </c>
      <c r="AF310" s="112">
        <f t="shared" si="269"/>
        <v>66228.87</v>
      </c>
      <c r="AG310" s="112">
        <f t="shared" si="269"/>
        <v>70437.78</v>
      </c>
      <c r="AH310" s="112">
        <f t="shared" si="269"/>
        <v>83042.755999999994</v>
      </c>
      <c r="AI310" s="112">
        <f t="shared" si="269"/>
        <v>84923.33</v>
      </c>
      <c r="AJ310" s="112">
        <f t="shared" si="269"/>
        <v>69189.301999999996</v>
      </c>
      <c r="AK310" s="112">
        <f t="shared" si="269"/>
        <v>92977.93</v>
      </c>
      <c r="AL310" s="112">
        <f t="shared" si="269"/>
        <v>69095.952000000005</v>
      </c>
      <c r="AN310" s="111" t="s">
        <v>131</v>
      </c>
      <c r="AO310" s="113">
        <f t="shared" ref="AO310:AW310" si="302">H310/H306</f>
        <v>0.32774126694381156</v>
      </c>
      <c r="AP310" s="113">
        <f t="shared" si="302"/>
        <v>0.31267267624910561</v>
      </c>
      <c r="AQ310" s="113">
        <f t="shared" si="302"/>
        <v>0.34133581832935039</v>
      </c>
      <c r="AR310" s="113">
        <f t="shared" si="302"/>
        <v>0.35584664769162216</v>
      </c>
      <c r="AS310" s="113">
        <f t="shared" si="302"/>
        <v>0.36384440416019836</v>
      </c>
      <c r="AT310" s="113">
        <f t="shared" si="302"/>
        <v>0.36579523919710144</v>
      </c>
      <c r="AU310" s="113">
        <f t="shared" si="302"/>
        <v>0.38208721079740421</v>
      </c>
      <c r="AV310" s="113">
        <f t="shared" si="302"/>
        <v>0.38747893739624562</v>
      </c>
      <c r="AW310" s="113">
        <f t="shared" si="302"/>
        <v>0.40218827453427014</v>
      </c>
      <c r="AY310" s="111" t="s">
        <v>131</v>
      </c>
      <c r="AZ310" s="179">
        <f t="shared" ref="AZ310:BB320" si="303">2*(S310*AO310/100)</f>
        <v>9.1767554744267236E-3</v>
      </c>
      <c r="BA310" s="179">
        <f t="shared" si="303"/>
        <v>1.1256216344967802E-2</v>
      </c>
      <c r="BB310" s="179">
        <f t="shared" si="303"/>
        <v>1.0240074549880511E-2</v>
      </c>
      <c r="BC310" s="179">
        <f t="shared" si="301"/>
        <v>1.0675399430748665E-2</v>
      </c>
      <c r="BD310" s="179">
        <f t="shared" si="301"/>
        <v>1.2370709741446743E-2</v>
      </c>
      <c r="BE310" s="179">
        <f t="shared" si="301"/>
        <v>1.2437038132701448E-2</v>
      </c>
      <c r="BF310" s="179">
        <f t="shared" si="301"/>
        <v>9.9342674807325095E-3</v>
      </c>
      <c r="BG310" s="179">
        <f t="shared" si="301"/>
        <v>1.3174283871472349E-2</v>
      </c>
      <c r="BH310" s="179">
        <f t="shared" si="301"/>
        <v>9.6525185888224826E-3</v>
      </c>
    </row>
    <row r="311" spans="2:68" s="87" customFormat="1" x14ac:dyDescent="0.25">
      <c r="B311" s="84"/>
      <c r="C311" s="85"/>
      <c r="D311" s="85"/>
      <c r="E311" s="109" t="s">
        <v>4</v>
      </c>
      <c r="F311" s="110" t="s">
        <v>63</v>
      </c>
      <c r="G311" s="195" t="s">
        <v>7</v>
      </c>
      <c r="H311" s="69">
        <v>3056062</v>
      </c>
      <c r="I311" s="69">
        <v>3123143</v>
      </c>
      <c r="J311" s="69">
        <v>3183843</v>
      </c>
      <c r="K311" s="69">
        <v>3249469</v>
      </c>
      <c r="L311" s="69">
        <v>3312699</v>
      </c>
      <c r="M311" s="69">
        <v>3378989</v>
      </c>
      <c r="N311" s="69">
        <v>3449411</v>
      </c>
      <c r="O311" s="69">
        <v>3492425</v>
      </c>
      <c r="P311" s="69">
        <v>3547445</v>
      </c>
      <c r="R311" s="195" t="s">
        <v>7</v>
      </c>
      <c r="S311" s="226">
        <v>1</v>
      </c>
      <c r="T311" s="226">
        <v>0.5</v>
      </c>
      <c r="U311" s="226">
        <v>0.4</v>
      </c>
      <c r="V311" s="226">
        <v>0.5</v>
      </c>
      <c r="W311" s="226">
        <v>0.5</v>
      </c>
      <c r="X311" s="226">
        <v>0.5</v>
      </c>
      <c r="Y311" s="226">
        <v>0.5</v>
      </c>
      <c r="Z311" s="226">
        <v>0.5</v>
      </c>
      <c r="AA311" s="226">
        <v>0.5</v>
      </c>
      <c r="AC311" s="195" t="s">
        <v>7</v>
      </c>
      <c r="AD311" s="69">
        <f t="shared" si="273"/>
        <v>61121.24</v>
      </c>
      <c r="AE311" s="69">
        <f t="shared" si="269"/>
        <v>31231.43</v>
      </c>
      <c r="AF311" s="69">
        <f t="shared" si="269"/>
        <v>25470.744000000002</v>
      </c>
      <c r="AG311" s="69">
        <f t="shared" si="269"/>
        <v>32494.69</v>
      </c>
      <c r="AH311" s="69">
        <f t="shared" si="269"/>
        <v>33126.99</v>
      </c>
      <c r="AI311" s="69">
        <f t="shared" si="269"/>
        <v>33789.89</v>
      </c>
      <c r="AJ311" s="69">
        <f t="shared" si="269"/>
        <v>34494.11</v>
      </c>
      <c r="AK311" s="69">
        <f t="shared" si="269"/>
        <v>34924.25</v>
      </c>
      <c r="AL311" s="69">
        <f t="shared" si="269"/>
        <v>35474.449999999997</v>
      </c>
      <c r="AN311" s="195" t="s">
        <v>7</v>
      </c>
      <c r="AO311" s="98">
        <f t="shared" ref="AO311:AW311" si="304">H311/H311</f>
        <v>1</v>
      </c>
      <c r="AP311" s="98">
        <f t="shared" si="304"/>
        <v>1</v>
      </c>
      <c r="AQ311" s="98">
        <f t="shared" si="304"/>
        <v>1</v>
      </c>
      <c r="AR311" s="98">
        <f t="shared" si="304"/>
        <v>1</v>
      </c>
      <c r="AS311" s="98">
        <f t="shared" si="304"/>
        <v>1</v>
      </c>
      <c r="AT311" s="98">
        <f t="shared" si="304"/>
        <v>1</v>
      </c>
      <c r="AU311" s="98">
        <f t="shared" si="304"/>
        <v>1</v>
      </c>
      <c r="AV311" s="98">
        <f t="shared" si="304"/>
        <v>1</v>
      </c>
      <c r="AW311" s="98">
        <f t="shared" si="304"/>
        <v>1</v>
      </c>
      <c r="AX311" s="191"/>
      <c r="AY311" s="195" t="s">
        <v>7</v>
      </c>
      <c r="AZ311" s="178">
        <f t="shared" si="303"/>
        <v>0.02</v>
      </c>
      <c r="BA311" s="178">
        <f t="shared" si="303"/>
        <v>0.01</v>
      </c>
      <c r="BB311" s="178">
        <f t="shared" si="303"/>
        <v>8.0000000000000002E-3</v>
      </c>
      <c r="BC311" s="178">
        <f t="shared" si="301"/>
        <v>0.01</v>
      </c>
      <c r="BD311" s="178">
        <f t="shared" si="301"/>
        <v>0.01</v>
      </c>
      <c r="BE311" s="178">
        <f t="shared" si="301"/>
        <v>0.01</v>
      </c>
      <c r="BF311" s="178">
        <f t="shared" si="301"/>
        <v>0.01</v>
      </c>
      <c r="BG311" s="178">
        <f t="shared" si="301"/>
        <v>0.01</v>
      </c>
      <c r="BH311" s="178">
        <f t="shared" si="301"/>
        <v>0.01</v>
      </c>
      <c r="BI311" s="191"/>
      <c r="BJ311" s="191"/>
      <c r="BK311" s="191"/>
      <c r="BL311" s="191"/>
      <c r="BM311" s="191"/>
      <c r="BN311" s="191"/>
      <c r="BO311" s="191"/>
      <c r="BP311" s="191"/>
    </row>
    <row r="312" spans="2:68" s="108" customFormat="1" x14ac:dyDescent="0.25">
      <c r="B312" s="107"/>
      <c r="E312" s="109" t="s">
        <v>4</v>
      </c>
      <c r="F312" s="110" t="s">
        <v>63</v>
      </c>
      <c r="G312" s="111" t="s">
        <v>54</v>
      </c>
      <c r="H312" s="112">
        <v>950440</v>
      </c>
      <c r="I312" s="112">
        <v>845249</v>
      </c>
      <c r="J312" s="112">
        <v>807125</v>
      </c>
      <c r="K312" s="112">
        <v>858976</v>
      </c>
      <c r="L312" s="112">
        <v>834006</v>
      </c>
      <c r="M312" s="112">
        <v>832863</v>
      </c>
      <c r="N312" s="112">
        <v>784674</v>
      </c>
      <c r="O312" s="112">
        <v>703235</v>
      </c>
      <c r="P312" s="112">
        <v>708929</v>
      </c>
      <c r="R312" s="111" t="s">
        <v>54</v>
      </c>
      <c r="S312" s="220">
        <v>2.6</v>
      </c>
      <c r="T312" s="220">
        <v>2.8</v>
      </c>
      <c r="U312" s="220">
        <v>2.4</v>
      </c>
      <c r="V312" s="220">
        <v>2.2999999999999998</v>
      </c>
      <c r="W312" s="220">
        <v>2.5</v>
      </c>
      <c r="X312" s="220">
        <v>3.1</v>
      </c>
      <c r="Y312" s="220">
        <v>2.1</v>
      </c>
      <c r="Z312" s="220">
        <v>3.7</v>
      </c>
      <c r="AA312" s="220">
        <v>3.6</v>
      </c>
      <c r="AC312" s="111" t="s">
        <v>54</v>
      </c>
      <c r="AD312" s="112">
        <f t="shared" si="273"/>
        <v>49422.879999999997</v>
      </c>
      <c r="AE312" s="112">
        <f t="shared" si="269"/>
        <v>47333.943999999996</v>
      </c>
      <c r="AF312" s="112">
        <f t="shared" si="269"/>
        <v>38742</v>
      </c>
      <c r="AG312" s="112">
        <f t="shared" si="269"/>
        <v>39512.895999999993</v>
      </c>
      <c r="AH312" s="112">
        <f t="shared" si="269"/>
        <v>41700.300000000003</v>
      </c>
      <c r="AI312" s="112">
        <f t="shared" si="269"/>
        <v>51637.506000000008</v>
      </c>
      <c r="AJ312" s="112">
        <f t="shared" si="269"/>
        <v>32956.308000000005</v>
      </c>
      <c r="AK312" s="112">
        <f t="shared" si="269"/>
        <v>52039.39</v>
      </c>
      <c r="AL312" s="112">
        <f t="shared" si="269"/>
        <v>51042.887999999999</v>
      </c>
      <c r="AN312" s="111" t="s">
        <v>54</v>
      </c>
      <c r="AO312" s="113">
        <f t="shared" ref="AO312:AW312" si="305">H312/H311</f>
        <v>0.31100154381684664</v>
      </c>
      <c r="AP312" s="113">
        <f t="shared" si="305"/>
        <v>0.27064050541393719</v>
      </c>
      <c r="AQ312" s="113">
        <f t="shared" si="305"/>
        <v>0.25350653282840896</v>
      </c>
      <c r="AR312" s="113">
        <f t="shared" si="305"/>
        <v>0.26434349735295215</v>
      </c>
      <c r="AS312" s="113">
        <f t="shared" si="305"/>
        <v>0.25176027160934333</v>
      </c>
      <c r="AT312" s="113">
        <f t="shared" si="305"/>
        <v>0.24648289769513898</v>
      </c>
      <c r="AU312" s="113">
        <f t="shared" si="305"/>
        <v>0.22748057566929542</v>
      </c>
      <c r="AV312" s="113">
        <f t="shared" si="305"/>
        <v>0.20136008647286627</v>
      </c>
      <c r="AW312" s="113">
        <f t="shared" si="305"/>
        <v>0.19984213990632696</v>
      </c>
      <c r="AY312" s="111" t="s">
        <v>54</v>
      </c>
      <c r="AZ312" s="179">
        <f t="shared" si="303"/>
        <v>1.6172080278476025E-2</v>
      </c>
      <c r="BA312" s="179">
        <f t="shared" si="303"/>
        <v>1.5155868303180482E-2</v>
      </c>
      <c r="BB312" s="179">
        <f t="shared" si="303"/>
        <v>1.216831357576363E-2</v>
      </c>
      <c r="BC312" s="179">
        <f t="shared" si="301"/>
        <v>1.2159800878235798E-2</v>
      </c>
      <c r="BD312" s="179">
        <f t="shared" si="301"/>
        <v>1.2588013580467168E-2</v>
      </c>
      <c r="BE312" s="179">
        <f t="shared" si="301"/>
        <v>1.5281939657098618E-2</v>
      </c>
      <c r="BF312" s="179">
        <f t="shared" si="301"/>
        <v>9.5541841781104069E-3</v>
      </c>
      <c r="BG312" s="179">
        <f t="shared" si="301"/>
        <v>1.4900646398992103E-2</v>
      </c>
      <c r="BH312" s="179">
        <f t="shared" si="301"/>
        <v>1.4388634073255541E-2</v>
      </c>
    </row>
    <row r="313" spans="2:68" s="108" customFormat="1" x14ac:dyDescent="0.25">
      <c r="B313" s="107"/>
      <c r="E313" s="109" t="s">
        <v>4</v>
      </c>
      <c r="F313" s="110" t="s">
        <v>63</v>
      </c>
      <c r="G313" s="111" t="s">
        <v>55</v>
      </c>
      <c r="H313" s="70">
        <v>902328</v>
      </c>
      <c r="I313" s="70">
        <v>1004518</v>
      </c>
      <c r="J313" s="70">
        <v>970044</v>
      </c>
      <c r="K313" s="70">
        <v>1003020</v>
      </c>
      <c r="L313" s="70">
        <v>1021619</v>
      </c>
      <c r="M313" s="70">
        <v>1030559</v>
      </c>
      <c r="N313" s="70">
        <v>1026808</v>
      </c>
      <c r="O313" s="112">
        <v>1069400</v>
      </c>
      <c r="P313" s="112">
        <v>1084995</v>
      </c>
      <c r="R313" s="111" t="s">
        <v>55</v>
      </c>
      <c r="S313" s="81">
        <v>2.6</v>
      </c>
      <c r="T313" s="81">
        <v>2.2999999999999998</v>
      </c>
      <c r="U313" s="81">
        <v>2.7</v>
      </c>
      <c r="V313" s="81">
        <v>2.2999999999999998</v>
      </c>
      <c r="W313" s="81">
        <v>2</v>
      </c>
      <c r="X313" s="81">
        <v>2.7</v>
      </c>
      <c r="Y313" s="81">
        <v>2</v>
      </c>
      <c r="Z313" s="81">
        <v>2.6</v>
      </c>
      <c r="AA313" s="81">
        <v>2.5</v>
      </c>
      <c r="AC313" s="111" t="s">
        <v>55</v>
      </c>
      <c r="AD313" s="70">
        <f t="shared" si="273"/>
        <v>46921.056000000004</v>
      </c>
      <c r="AE313" s="70">
        <f t="shared" si="269"/>
        <v>46207.828000000001</v>
      </c>
      <c r="AF313" s="70">
        <f t="shared" ref="AF313:AL320" si="306">2*(J313*U313/100)</f>
        <v>52382.376000000004</v>
      </c>
      <c r="AG313" s="70">
        <f t="shared" si="306"/>
        <v>46138.92</v>
      </c>
      <c r="AH313" s="70">
        <f t="shared" si="306"/>
        <v>40864.76</v>
      </c>
      <c r="AI313" s="70">
        <f t="shared" si="306"/>
        <v>55650.186000000009</v>
      </c>
      <c r="AJ313" s="70">
        <f t="shared" si="306"/>
        <v>41072.32</v>
      </c>
      <c r="AK313" s="70">
        <f t="shared" si="306"/>
        <v>55608.800000000003</v>
      </c>
      <c r="AL313" s="70">
        <f t="shared" si="306"/>
        <v>54249.75</v>
      </c>
      <c r="AN313" s="111" t="s">
        <v>55</v>
      </c>
      <c r="AO313" s="113">
        <f t="shared" ref="AO313:AW313" si="307">H313/H311</f>
        <v>0.29525840771555029</v>
      </c>
      <c r="AP313" s="113">
        <f t="shared" si="307"/>
        <v>0.32163688950521957</v>
      </c>
      <c r="AQ313" s="113">
        <f t="shared" si="307"/>
        <v>0.30467708363760398</v>
      </c>
      <c r="AR313" s="113">
        <f t="shared" si="307"/>
        <v>0.30867197071275337</v>
      </c>
      <c r="AS313" s="113">
        <f t="shared" si="307"/>
        <v>0.30839475605842848</v>
      </c>
      <c r="AT313" s="113">
        <f t="shared" si="307"/>
        <v>0.30499033882619919</v>
      </c>
      <c r="AU313" s="113">
        <f t="shared" si="307"/>
        <v>0.29767632792960885</v>
      </c>
      <c r="AV313" s="113">
        <f t="shared" si="307"/>
        <v>0.30620557349119881</v>
      </c>
      <c r="AW313" s="113">
        <f t="shared" si="307"/>
        <v>0.30585252202641622</v>
      </c>
      <c r="AY313" s="111" t="s">
        <v>55</v>
      </c>
      <c r="AZ313" s="179">
        <f t="shared" si="303"/>
        <v>1.5353437201208615E-2</v>
      </c>
      <c r="BA313" s="179">
        <f t="shared" si="303"/>
        <v>1.4795296917240099E-2</v>
      </c>
      <c r="BB313" s="179">
        <f t="shared" si="303"/>
        <v>1.6452562516430614E-2</v>
      </c>
      <c r="BC313" s="179">
        <f t="shared" si="301"/>
        <v>1.4198910652786653E-2</v>
      </c>
      <c r="BD313" s="179">
        <f t="shared" si="301"/>
        <v>1.2335790242337139E-2</v>
      </c>
      <c r="BE313" s="179">
        <f t="shared" si="301"/>
        <v>1.6469478296614756E-2</v>
      </c>
      <c r="BF313" s="179">
        <f t="shared" si="301"/>
        <v>1.1907053117184353E-2</v>
      </c>
      <c r="BG313" s="179">
        <f t="shared" si="301"/>
        <v>1.5922689821542338E-2</v>
      </c>
      <c r="BH313" s="179">
        <f t="shared" si="301"/>
        <v>1.529262610132081E-2</v>
      </c>
    </row>
    <row r="314" spans="2:68" s="108" customFormat="1" x14ac:dyDescent="0.25">
      <c r="B314" s="107"/>
      <c r="E314" s="109" t="s">
        <v>4</v>
      </c>
      <c r="F314" s="110" t="s">
        <v>63</v>
      </c>
      <c r="G314" s="111" t="s">
        <v>130</v>
      </c>
      <c r="H314" s="70">
        <v>320628</v>
      </c>
      <c r="I314" s="70">
        <v>392491</v>
      </c>
      <c r="J314" s="70">
        <v>409341</v>
      </c>
      <c r="K314" s="70">
        <v>351094</v>
      </c>
      <c r="L314" s="70">
        <v>375278</v>
      </c>
      <c r="M314" s="70">
        <v>416045</v>
      </c>
      <c r="N314" s="70">
        <v>458153</v>
      </c>
      <c r="O314" s="112">
        <v>521787</v>
      </c>
      <c r="P314" s="112">
        <v>477352</v>
      </c>
      <c r="R314" s="111" t="s">
        <v>130</v>
      </c>
      <c r="S314" s="220">
        <v>4.3</v>
      </c>
      <c r="T314" s="220">
        <v>4.7</v>
      </c>
      <c r="U314" s="220">
        <v>3.8</v>
      </c>
      <c r="V314" s="220">
        <v>4.2</v>
      </c>
      <c r="W314" s="220">
        <v>4.5</v>
      </c>
      <c r="X314" s="220">
        <v>4.4000000000000004</v>
      </c>
      <c r="Y314" s="220">
        <v>4.0999999999999996</v>
      </c>
      <c r="Z314" s="220">
        <v>3.7</v>
      </c>
      <c r="AA314" s="220">
        <v>3.8</v>
      </c>
      <c r="AC314" s="111" t="s">
        <v>130</v>
      </c>
      <c r="AD314" s="70">
        <f t="shared" si="273"/>
        <v>27574.007999999998</v>
      </c>
      <c r="AE314" s="70">
        <f t="shared" si="273"/>
        <v>36894.154000000002</v>
      </c>
      <c r="AF314" s="70">
        <f t="shared" si="306"/>
        <v>31109.915999999997</v>
      </c>
      <c r="AG314" s="70">
        <f t="shared" si="306"/>
        <v>29491.896000000001</v>
      </c>
      <c r="AH314" s="70">
        <f t="shared" si="306"/>
        <v>33775.019999999997</v>
      </c>
      <c r="AI314" s="70">
        <f t="shared" si="306"/>
        <v>36611.960000000006</v>
      </c>
      <c r="AJ314" s="70">
        <f t="shared" si="306"/>
        <v>37568.545999999995</v>
      </c>
      <c r="AK314" s="70">
        <f t="shared" si="306"/>
        <v>38612.238000000005</v>
      </c>
      <c r="AL314" s="70">
        <f t="shared" si="306"/>
        <v>36278.752</v>
      </c>
      <c r="AN314" s="111" t="s">
        <v>130</v>
      </c>
      <c r="AO314" s="113">
        <f t="shared" ref="AO314:AW314" si="308">H314/H311</f>
        <v>0.10491541074755682</v>
      </c>
      <c r="AP314" s="113">
        <f t="shared" si="308"/>
        <v>0.12567179920996252</v>
      </c>
      <c r="AQ314" s="113">
        <f t="shared" si="308"/>
        <v>0.12856821143504876</v>
      </c>
      <c r="AR314" s="113">
        <f t="shared" si="308"/>
        <v>0.10804657622522326</v>
      </c>
      <c r="AS314" s="113">
        <f t="shared" si="308"/>
        <v>0.11328466606836299</v>
      </c>
      <c r="AT314" s="113">
        <f t="shared" si="308"/>
        <v>0.12312706552166935</v>
      </c>
      <c r="AU314" s="113">
        <f t="shared" si="308"/>
        <v>0.13282064677128935</v>
      </c>
      <c r="AV314" s="113">
        <f t="shared" si="308"/>
        <v>0.14940535587736314</v>
      </c>
      <c r="AW314" s="113">
        <f t="shared" si="308"/>
        <v>0.13456219899110486</v>
      </c>
      <c r="AY314" s="111" t="s">
        <v>130</v>
      </c>
      <c r="AZ314" s="179">
        <f t="shared" si="303"/>
        <v>9.0227253242898871E-3</v>
      </c>
      <c r="BA314" s="179">
        <f t="shared" si="303"/>
        <v>1.1813149125736477E-2</v>
      </c>
      <c r="BB314" s="179">
        <f t="shared" si="303"/>
        <v>9.7711840690637049E-3</v>
      </c>
      <c r="BC314" s="179">
        <f t="shared" si="301"/>
        <v>9.0759124029187541E-3</v>
      </c>
      <c r="BD314" s="179">
        <f t="shared" si="301"/>
        <v>1.019561994615267E-2</v>
      </c>
      <c r="BE314" s="179">
        <f t="shared" si="301"/>
        <v>1.0835181765906905E-2</v>
      </c>
      <c r="BF314" s="179">
        <f t="shared" si="301"/>
        <v>1.0891293035245726E-2</v>
      </c>
      <c r="BG314" s="179">
        <f t="shared" si="301"/>
        <v>1.1055996334924873E-2</v>
      </c>
      <c r="BH314" s="179">
        <f t="shared" si="301"/>
        <v>1.0226727123323969E-2</v>
      </c>
    </row>
    <row r="315" spans="2:68" s="108" customFormat="1" x14ac:dyDescent="0.25">
      <c r="B315" s="107"/>
      <c r="E315" s="109" t="s">
        <v>4</v>
      </c>
      <c r="F315" s="110" t="s">
        <v>63</v>
      </c>
      <c r="G315" s="111" t="s">
        <v>131</v>
      </c>
      <c r="H315" s="112">
        <v>876347</v>
      </c>
      <c r="I315" s="112">
        <v>864378</v>
      </c>
      <c r="J315" s="112">
        <v>991962</v>
      </c>
      <c r="K315" s="112">
        <v>1027928</v>
      </c>
      <c r="L315" s="112">
        <v>1069011</v>
      </c>
      <c r="M315" s="112">
        <v>1082419</v>
      </c>
      <c r="N315" s="112">
        <v>1166391</v>
      </c>
      <c r="O315" s="112">
        <v>1198003</v>
      </c>
      <c r="P315" s="112">
        <v>1276168</v>
      </c>
      <c r="R315" s="111" t="s">
        <v>131</v>
      </c>
      <c r="S315" s="220">
        <v>2.6</v>
      </c>
      <c r="T315" s="220">
        <v>2.8</v>
      </c>
      <c r="U315" s="220">
        <v>2.4</v>
      </c>
      <c r="V315" s="220">
        <v>1.8</v>
      </c>
      <c r="W315" s="220">
        <v>1.9</v>
      </c>
      <c r="X315" s="220">
        <v>2.7</v>
      </c>
      <c r="Y315" s="220">
        <v>2</v>
      </c>
      <c r="Z315" s="220">
        <v>2.6</v>
      </c>
      <c r="AA315" s="220">
        <v>2.5</v>
      </c>
      <c r="AC315" s="111" t="s">
        <v>131</v>
      </c>
      <c r="AD315" s="112">
        <f t="shared" si="273"/>
        <v>45570.044000000002</v>
      </c>
      <c r="AE315" s="112">
        <f t="shared" si="273"/>
        <v>48405.167999999998</v>
      </c>
      <c r="AF315" s="112">
        <f t="shared" si="306"/>
        <v>47614.175999999999</v>
      </c>
      <c r="AG315" s="112">
        <f t="shared" si="306"/>
        <v>37005.408000000003</v>
      </c>
      <c r="AH315" s="112">
        <f t="shared" si="306"/>
        <v>40622.417999999998</v>
      </c>
      <c r="AI315" s="112">
        <f t="shared" si="306"/>
        <v>58450.626000000004</v>
      </c>
      <c r="AJ315" s="112">
        <f t="shared" si="306"/>
        <v>46655.64</v>
      </c>
      <c r="AK315" s="112">
        <f t="shared" si="306"/>
        <v>62296.156000000003</v>
      </c>
      <c r="AL315" s="112">
        <f t="shared" si="306"/>
        <v>63808.4</v>
      </c>
      <c r="AN315" s="111" t="s">
        <v>131</v>
      </c>
      <c r="AO315" s="113">
        <f t="shared" ref="AO315:AW315" si="309">H315/H311</f>
        <v>0.28675694406723423</v>
      </c>
      <c r="AP315" s="113">
        <f t="shared" si="309"/>
        <v>0.27676542508620322</v>
      </c>
      <c r="AQ315" s="113">
        <f t="shared" si="309"/>
        <v>0.3115612170574994</v>
      </c>
      <c r="AR315" s="113">
        <f t="shared" si="309"/>
        <v>0.31633722309706602</v>
      </c>
      <c r="AS315" s="113">
        <f t="shared" si="309"/>
        <v>0.32270091547707774</v>
      </c>
      <c r="AT315" s="113">
        <f t="shared" si="309"/>
        <v>0.32033812480597007</v>
      </c>
      <c r="AU315" s="113">
        <f t="shared" si="309"/>
        <v>0.3381420770096692</v>
      </c>
      <c r="AV315" s="113">
        <f t="shared" si="309"/>
        <v>0.34302898415857175</v>
      </c>
      <c r="AW315" s="113">
        <f t="shared" si="309"/>
        <v>0.3597428571831276</v>
      </c>
      <c r="AY315" s="111" t="s">
        <v>131</v>
      </c>
      <c r="AZ315" s="179">
        <f t="shared" si="303"/>
        <v>1.491136109149618E-2</v>
      </c>
      <c r="BA315" s="179">
        <f t="shared" si="303"/>
        <v>1.5498863804827378E-2</v>
      </c>
      <c r="BB315" s="179">
        <f t="shared" si="303"/>
        <v>1.495493841875997E-2</v>
      </c>
      <c r="BC315" s="179">
        <f t="shared" si="301"/>
        <v>1.1388140031494378E-2</v>
      </c>
      <c r="BD315" s="179">
        <f t="shared" si="301"/>
        <v>1.2262634788128954E-2</v>
      </c>
      <c r="BE315" s="179">
        <f t="shared" si="301"/>
        <v>1.7298258739522385E-2</v>
      </c>
      <c r="BF315" s="179">
        <f t="shared" si="301"/>
        <v>1.3525683080386769E-2</v>
      </c>
      <c r="BG315" s="179">
        <f t="shared" si="301"/>
        <v>1.7837507176245729E-2</v>
      </c>
      <c r="BH315" s="179">
        <f t="shared" si="301"/>
        <v>1.7987142859156379E-2</v>
      </c>
    </row>
    <row r="316" spans="2:68" s="87" customFormat="1" x14ac:dyDescent="0.25">
      <c r="B316" s="84"/>
      <c r="C316" s="85"/>
      <c r="D316" s="85"/>
      <c r="E316" s="109" t="s">
        <v>5</v>
      </c>
      <c r="F316" s="110" t="s">
        <v>63</v>
      </c>
      <c r="G316" s="195" t="s">
        <v>7</v>
      </c>
      <c r="H316" s="69">
        <v>3160662</v>
      </c>
      <c r="I316" s="69">
        <v>3224719</v>
      </c>
      <c r="J316" s="69">
        <v>3283773</v>
      </c>
      <c r="K316" s="69">
        <v>3348671</v>
      </c>
      <c r="L316" s="69">
        <v>3400154</v>
      </c>
      <c r="M316" s="69">
        <v>3449271</v>
      </c>
      <c r="N316" s="69">
        <v>3515300</v>
      </c>
      <c r="O316" s="69">
        <v>3565107</v>
      </c>
      <c r="P316" s="69">
        <v>3610889</v>
      </c>
      <c r="R316" s="195" t="s">
        <v>7</v>
      </c>
      <c r="S316" s="226">
        <v>1</v>
      </c>
      <c r="T316" s="226">
        <v>0.5</v>
      </c>
      <c r="U316" s="226">
        <v>0.4</v>
      </c>
      <c r="V316" s="226">
        <v>0.5</v>
      </c>
      <c r="W316" s="226">
        <v>0.5</v>
      </c>
      <c r="X316" s="226">
        <v>0.5</v>
      </c>
      <c r="Y316" s="226">
        <v>0.5</v>
      </c>
      <c r="Z316" s="226">
        <v>0.5</v>
      </c>
      <c r="AA316" s="226">
        <v>0.5</v>
      </c>
      <c r="AC316" s="195" t="s">
        <v>7</v>
      </c>
      <c r="AD316" s="69">
        <f t="shared" si="273"/>
        <v>63213.24</v>
      </c>
      <c r="AE316" s="69">
        <f t="shared" si="273"/>
        <v>32247.19</v>
      </c>
      <c r="AF316" s="69">
        <f t="shared" si="306"/>
        <v>26270.184000000005</v>
      </c>
      <c r="AG316" s="69">
        <f t="shared" si="306"/>
        <v>33486.71</v>
      </c>
      <c r="AH316" s="69">
        <f t="shared" si="306"/>
        <v>34001.54</v>
      </c>
      <c r="AI316" s="69">
        <f t="shared" si="306"/>
        <v>34492.71</v>
      </c>
      <c r="AJ316" s="69">
        <f t="shared" si="306"/>
        <v>35153</v>
      </c>
      <c r="AK316" s="69">
        <f t="shared" si="306"/>
        <v>35651.07</v>
      </c>
      <c r="AL316" s="69">
        <f t="shared" si="306"/>
        <v>36108.89</v>
      </c>
      <c r="AN316" s="195" t="s">
        <v>7</v>
      </c>
      <c r="AO316" s="98">
        <f t="shared" ref="AO316:AW316" si="310">H316/H316</f>
        <v>1</v>
      </c>
      <c r="AP316" s="98">
        <f t="shared" si="310"/>
        <v>1</v>
      </c>
      <c r="AQ316" s="98">
        <f t="shared" si="310"/>
        <v>1</v>
      </c>
      <c r="AR316" s="98">
        <f t="shared" si="310"/>
        <v>1</v>
      </c>
      <c r="AS316" s="98">
        <f t="shared" si="310"/>
        <v>1</v>
      </c>
      <c r="AT316" s="98">
        <f t="shared" si="310"/>
        <v>1</v>
      </c>
      <c r="AU316" s="98">
        <f t="shared" si="310"/>
        <v>1</v>
      </c>
      <c r="AV316" s="98">
        <f t="shared" si="310"/>
        <v>1</v>
      </c>
      <c r="AW316" s="98">
        <f t="shared" si="310"/>
        <v>1</v>
      </c>
      <c r="AX316" s="191"/>
      <c r="AY316" s="195" t="s">
        <v>7</v>
      </c>
      <c r="AZ316" s="178">
        <f t="shared" si="303"/>
        <v>0.02</v>
      </c>
      <c r="BA316" s="178">
        <f t="shared" si="303"/>
        <v>0.01</v>
      </c>
      <c r="BB316" s="178">
        <f t="shared" si="303"/>
        <v>8.0000000000000002E-3</v>
      </c>
      <c r="BC316" s="178">
        <f t="shared" si="301"/>
        <v>0.01</v>
      </c>
      <c r="BD316" s="178">
        <f t="shared" si="301"/>
        <v>0.01</v>
      </c>
      <c r="BE316" s="178">
        <f t="shared" si="301"/>
        <v>0.01</v>
      </c>
      <c r="BF316" s="178">
        <f t="shared" si="301"/>
        <v>0.01</v>
      </c>
      <c r="BG316" s="178">
        <f t="shared" si="301"/>
        <v>0.01</v>
      </c>
      <c r="BH316" s="178">
        <f t="shared" si="301"/>
        <v>0.01</v>
      </c>
      <c r="BI316" s="191"/>
      <c r="BJ316" s="191"/>
      <c r="BK316" s="191"/>
      <c r="BL316" s="191"/>
      <c r="BM316" s="191"/>
      <c r="BN316" s="191"/>
      <c r="BO316" s="191"/>
      <c r="BP316" s="191"/>
    </row>
    <row r="317" spans="2:68" s="108" customFormat="1" x14ac:dyDescent="0.25">
      <c r="B317" s="107"/>
      <c r="E317" s="109" t="s">
        <v>5</v>
      </c>
      <c r="F317" s="110" t="s">
        <v>63</v>
      </c>
      <c r="G317" s="111" t="s">
        <v>54</v>
      </c>
      <c r="H317" s="112">
        <v>880425</v>
      </c>
      <c r="I317" s="112">
        <v>794094</v>
      </c>
      <c r="J317" s="112">
        <v>769261</v>
      </c>
      <c r="K317" s="112">
        <v>735281</v>
      </c>
      <c r="L317" s="112">
        <v>698083</v>
      </c>
      <c r="M317" s="112">
        <v>690861</v>
      </c>
      <c r="N317" s="112">
        <v>637382</v>
      </c>
      <c r="O317" s="112">
        <v>592428</v>
      </c>
      <c r="P317" s="112">
        <v>570678</v>
      </c>
      <c r="R317" s="111" t="s">
        <v>54</v>
      </c>
      <c r="S317" s="220">
        <v>2.6</v>
      </c>
      <c r="T317" s="220">
        <v>2.8</v>
      </c>
      <c r="U317" s="220">
        <v>2.4</v>
      </c>
      <c r="V317" s="220">
        <v>2.7</v>
      </c>
      <c r="W317" s="220">
        <v>3.6</v>
      </c>
      <c r="X317" s="220">
        <v>3.7</v>
      </c>
      <c r="Y317" s="220">
        <v>3.1</v>
      </c>
      <c r="Z317" s="220">
        <v>3.7</v>
      </c>
      <c r="AA317" s="220">
        <v>3.6</v>
      </c>
      <c r="AC317" s="111" t="s">
        <v>54</v>
      </c>
      <c r="AD317" s="112">
        <f t="shared" si="273"/>
        <v>45782.1</v>
      </c>
      <c r="AE317" s="112">
        <f t="shared" si="273"/>
        <v>44469.263999999996</v>
      </c>
      <c r="AF317" s="112">
        <f t="shared" si="306"/>
        <v>36924.527999999998</v>
      </c>
      <c r="AG317" s="112">
        <f t="shared" si="306"/>
        <v>39705.174000000006</v>
      </c>
      <c r="AH317" s="112">
        <f t="shared" si="306"/>
        <v>50261.976000000002</v>
      </c>
      <c r="AI317" s="112">
        <f t="shared" si="306"/>
        <v>51123.714000000007</v>
      </c>
      <c r="AJ317" s="112">
        <f t="shared" si="306"/>
        <v>39517.684000000001</v>
      </c>
      <c r="AK317" s="112">
        <f t="shared" si="306"/>
        <v>43839.671999999999</v>
      </c>
      <c r="AL317" s="112">
        <f t="shared" si="306"/>
        <v>41088.815999999999</v>
      </c>
      <c r="AN317" s="111" t="s">
        <v>54</v>
      </c>
      <c r="AO317" s="113">
        <f t="shared" ref="AO317:AW317" si="311">H317/H316</f>
        <v>0.27855715036913153</v>
      </c>
      <c r="AP317" s="113">
        <f t="shared" si="311"/>
        <v>0.24625215406365639</v>
      </c>
      <c r="AQ317" s="113">
        <f t="shared" si="311"/>
        <v>0.23426132074293807</v>
      </c>
      <c r="AR317" s="113">
        <f t="shared" si="311"/>
        <v>0.21957397427218142</v>
      </c>
      <c r="AS317" s="113">
        <f t="shared" si="311"/>
        <v>0.20530923011134203</v>
      </c>
      <c r="AT317" s="113">
        <f t="shared" si="311"/>
        <v>0.20029188776411017</v>
      </c>
      <c r="AU317" s="113">
        <f t="shared" si="311"/>
        <v>0.18131653059482833</v>
      </c>
      <c r="AV317" s="113">
        <f t="shared" si="311"/>
        <v>0.16617397458196906</v>
      </c>
      <c r="AW317" s="113">
        <f t="shared" si="311"/>
        <v>0.15804362859118626</v>
      </c>
      <c r="AY317" s="111" t="s">
        <v>54</v>
      </c>
      <c r="AZ317" s="179">
        <f t="shared" si="303"/>
        <v>1.4484971819194841E-2</v>
      </c>
      <c r="BA317" s="179">
        <f t="shared" si="303"/>
        <v>1.3790120627564757E-2</v>
      </c>
      <c r="BB317" s="179">
        <f t="shared" si="303"/>
        <v>1.1244543395661026E-2</v>
      </c>
      <c r="BC317" s="179">
        <f t="shared" si="301"/>
        <v>1.1856994610697797E-2</v>
      </c>
      <c r="BD317" s="179">
        <f t="shared" si="301"/>
        <v>1.4782264568016625E-2</v>
      </c>
      <c r="BE317" s="179">
        <f t="shared" si="301"/>
        <v>1.4821599694544153E-2</v>
      </c>
      <c r="BF317" s="179">
        <f t="shared" si="301"/>
        <v>1.1241624896879356E-2</v>
      </c>
      <c r="BG317" s="179">
        <f t="shared" si="301"/>
        <v>1.229687411906571E-2</v>
      </c>
      <c r="BH317" s="179">
        <f t="shared" si="301"/>
        <v>1.1379141258565411E-2</v>
      </c>
    </row>
    <row r="318" spans="2:68" s="108" customFormat="1" x14ac:dyDescent="0.25">
      <c r="B318" s="107"/>
      <c r="E318" s="109" t="s">
        <v>5</v>
      </c>
      <c r="F318" s="110" t="s">
        <v>63</v>
      </c>
      <c r="G318" s="111" t="s">
        <v>55</v>
      </c>
      <c r="H318" s="70">
        <v>739568</v>
      </c>
      <c r="I318" s="70">
        <v>866598</v>
      </c>
      <c r="J318" s="70">
        <v>806554</v>
      </c>
      <c r="K318" s="70">
        <v>860869</v>
      </c>
      <c r="L318" s="70">
        <v>914458</v>
      </c>
      <c r="M318" s="70">
        <v>895111</v>
      </c>
      <c r="N318" s="70">
        <v>913362</v>
      </c>
      <c r="O318" s="112">
        <v>947058</v>
      </c>
      <c r="P318" s="112">
        <v>951411</v>
      </c>
      <c r="R318" s="111" t="s">
        <v>55</v>
      </c>
      <c r="S318" s="81">
        <v>3.3</v>
      </c>
      <c r="T318" s="81">
        <v>2.8</v>
      </c>
      <c r="U318" s="81">
        <v>2.7</v>
      </c>
      <c r="V318" s="81">
        <v>2.8</v>
      </c>
      <c r="W318" s="81">
        <v>3</v>
      </c>
      <c r="X318" s="81">
        <v>2.6</v>
      </c>
      <c r="Y318" s="81">
        <v>2.5</v>
      </c>
      <c r="Z318" s="81">
        <v>3</v>
      </c>
      <c r="AA318" s="81">
        <v>2.9</v>
      </c>
      <c r="AC318" s="111" t="s">
        <v>55</v>
      </c>
      <c r="AD318" s="70">
        <f t="shared" si="273"/>
        <v>48811.487999999998</v>
      </c>
      <c r="AE318" s="70">
        <f t="shared" si="273"/>
        <v>48529.487999999998</v>
      </c>
      <c r="AF318" s="70">
        <f t="shared" si="306"/>
        <v>43553.916000000005</v>
      </c>
      <c r="AG318" s="70">
        <f t="shared" si="306"/>
        <v>48208.663999999997</v>
      </c>
      <c r="AH318" s="70">
        <f t="shared" si="306"/>
        <v>54867.48</v>
      </c>
      <c r="AI318" s="70">
        <f t="shared" si="306"/>
        <v>46545.772000000004</v>
      </c>
      <c r="AJ318" s="70">
        <f t="shared" si="306"/>
        <v>45668.1</v>
      </c>
      <c r="AK318" s="70">
        <f t="shared" si="306"/>
        <v>56823.48</v>
      </c>
      <c r="AL318" s="70">
        <f t="shared" si="306"/>
        <v>55181.837999999996</v>
      </c>
      <c r="AN318" s="111" t="s">
        <v>55</v>
      </c>
      <c r="AO318" s="113">
        <f t="shared" ref="AO318:AW318" si="312">H318/H316</f>
        <v>0.23399148659363134</v>
      </c>
      <c r="AP318" s="113">
        <f t="shared" si="312"/>
        <v>0.26873597358405493</v>
      </c>
      <c r="AQ318" s="113">
        <f t="shared" si="312"/>
        <v>0.24561807408733796</v>
      </c>
      <c r="AR318" s="113">
        <f t="shared" si="312"/>
        <v>0.25707780788258983</v>
      </c>
      <c r="AS318" s="113">
        <f t="shared" si="312"/>
        <v>0.2689460536199243</v>
      </c>
      <c r="AT318" s="113">
        <f t="shared" si="312"/>
        <v>0.25950729878864259</v>
      </c>
      <c r="AU318" s="113">
        <f t="shared" si="312"/>
        <v>0.25982476602281457</v>
      </c>
      <c r="AV318" s="113">
        <f t="shared" si="312"/>
        <v>0.26564644483321259</v>
      </c>
      <c r="AW318" s="113">
        <f t="shared" si="312"/>
        <v>0.26348386782313166</v>
      </c>
      <c r="AY318" s="111" t="s">
        <v>55</v>
      </c>
      <c r="AZ318" s="179">
        <f t="shared" si="303"/>
        <v>1.5443438115179668E-2</v>
      </c>
      <c r="BA318" s="179">
        <f t="shared" si="303"/>
        <v>1.5049214520707075E-2</v>
      </c>
      <c r="BB318" s="179">
        <f t="shared" si="303"/>
        <v>1.3263376000716252E-2</v>
      </c>
      <c r="BC318" s="179">
        <f t="shared" si="301"/>
        <v>1.4396357241425028E-2</v>
      </c>
      <c r="BD318" s="179">
        <f t="shared" si="301"/>
        <v>1.6136763217195458E-2</v>
      </c>
      <c r="BE318" s="179">
        <f t="shared" si="301"/>
        <v>1.3494379537009415E-2</v>
      </c>
      <c r="BF318" s="179">
        <f t="shared" si="301"/>
        <v>1.2991238301140729E-2</v>
      </c>
      <c r="BG318" s="179">
        <f t="shared" si="301"/>
        <v>1.5938786689992757E-2</v>
      </c>
      <c r="BH318" s="179">
        <f t="shared" si="301"/>
        <v>1.5282064333741636E-2</v>
      </c>
    </row>
    <row r="319" spans="2:68" s="108" customFormat="1" x14ac:dyDescent="0.25">
      <c r="B319" s="107"/>
      <c r="E319" s="109" t="s">
        <v>5</v>
      </c>
      <c r="F319" s="110" t="s">
        <v>63</v>
      </c>
      <c r="G319" s="111" t="s">
        <v>130</v>
      </c>
      <c r="H319" s="70">
        <v>375523</v>
      </c>
      <c r="I319" s="70">
        <v>427644</v>
      </c>
      <c r="J319" s="70">
        <v>486433</v>
      </c>
      <c r="K319" s="70">
        <v>420565</v>
      </c>
      <c r="L319" s="70">
        <v>399630</v>
      </c>
      <c r="M319" s="70">
        <v>434349</v>
      </c>
      <c r="N319" s="70">
        <v>454780</v>
      </c>
      <c r="O319" s="112">
        <v>488979</v>
      </c>
      <c r="P319" s="112">
        <v>485971</v>
      </c>
      <c r="R319" s="111" t="s">
        <v>130</v>
      </c>
      <c r="S319" s="220">
        <v>3.9</v>
      </c>
      <c r="T319" s="220">
        <v>3.9</v>
      </c>
      <c r="U319" s="220">
        <v>3.6</v>
      </c>
      <c r="V319" s="220">
        <v>3.9</v>
      </c>
      <c r="W319" s="220">
        <v>4.5</v>
      </c>
      <c r="X319" s="220">
        <v>4.4000000000000004</v>
      </c>
      <c r="Y319" s="220">
        <v>4.0999999999999996</v>
      </c>
      <c r="Z319" s="220">
        <v>3.9</v>
      </c>
      <c r="AA319" s="220">
        <v>3.8</v>
      </c>
      <c r="AC319" s="111" t="s">
        <v>130</v>
      </c>
      <c r="AD319" s="70">
        <f t="shared" si="273"/>
        <v>29290.793999999998</v>
      </c>
      <c r="AE319" s="70">
        <f t="shared" si="273"/>
        <v>33356.231999999996</v>
      </c>
      <c r="AF319" s="70">
        <f t="shared" si="306"/>
        <v>35023.175999999999</v>
      </c>
      <c r="AG319" s="70">
        <f t="shared" si="306"/>
        <v>32804.07</v>
      </c>
      <c r="AH319" s="70">
        <f t="shared" si="306"/>
        <v>35966.699999999997</v>
      </c>
      <c r="AI319" s="70">
        <f t="shared" si="306"/>
        <v>38222.712</v>
      </c>
      <c r="AJ319" s="70">
        <f t="shared" si="306"/>
        <v>37291.959999999992</v>
      </c>
      <c r="AK319" s="70">
        <f t="shared" si="306"/>
        <v>38140.361999999994</v>
      </c>
      <c r="AL319" s="70">
        <f t="shared" si="306"/>
        <v>36933.795999999995</v>
      </c>
      <c r="AN319" s="111" t="s">
        <v>130</v>
      </c>
      <c r="AO319" s="113">
        <f t="shared" ref="AO319:AW319" si="313">H319/H316</f>
        <v>0.11881150214733496</v>
      </c>
      <c r="AP319" s="113">
        <f t="shared" si="313"/>
        <v>0.13261434562205265</v>
      </c>
      <c r="AQ319" s="113">
        <f t="shared" si="313"/>
        <v>0.14813234654161539</v>
      </c>
      <c r="AR319" s="113">
        <f t="shared" si="313"/>
        <v>0.12559161530051774</v>
      </c>
      <c r="AS319" s="113">
        <f t="shared" si="313"/>
        <v>0.11753291174458569</v>
      </c>
      <c r="AT319" s="113">
        <f t="shared" si="313"/>
        <v>0.1259248693419566</v>
      </c>
      <c r="AU319" s="113">
        <f t="shared" si="313"/>
        <v>0.12937160413051518</v>
      </c>
      <c r="AV319" s="113">
        <f t="shared" si="313"/>
        <v>0.1371568931872171</v>
      </c>
      <c r="AW319" s="113">
        <f t="shared" si="313"/>
        <v>0.1345848626197039</v>
      </c>
      <c r="AY319" s="111" t="s">
        <v>130</v>
      </c>
      <c r="AZ319" s="179">
        <f t="shared" si="303"/>
        <v>9.2672971674921268E-3</v>
      </c>
      <c r="BA319" s="179">
        <f t="shared" si="303"/>
        <v>1.0343918958520106E-2</v>
      </c>
      <c r="BB319" s="179">
        <f t="shared" si="303"/>
        <v>1.0665528950996308E-2</v>
      </c>
      <c r="BC319" s="179">
        <f t="shared" si="301"/>
        <v>9.7961459934403847E-3</v>
      </c>
      <c r="BD319" s="179">
        <f t="shared" si="301"/>
        <v>1.0577962057012714E-2</v>
      </c>
      <c r="BE319" s="179">
        <f t="shared" si="301"/>
        <v>1.1081388502092181E-2</v>
      </c>
      <c r="BF319" s="179">
        <f t="shared" si="301"/>
        <v>1.0608471538702244E-2</v>
      </c>
      <c r="BG319" s="179">
        <f t="shared" si="301"/>
        <v>1.0698237668602934E-2</v>
      </c>
      <c r="BH319" s="179">
        <f t="shared" si="301"/>
        <v>1.0228449559097496E-2</v>
      </c>
    </row>
    <row r="320" spans="2:68" s="108" customFormat="1" x14ac:dyDescent="0.25">
      <c r="B320" s="107"/>
      <c r="E320" s="109" t="s">
        <v>5</v>
      </c>
      <c r="F320" s="110" t="s">
        <v>63</v>
      </c>
      <c r="G320" s="111" t="s">
        <v>131</v>
      </c>
      <c r="H320" s="112">
        <v>1161130</v>
      </c>
      <c r="I320" s="112">
        <v>1120425</v>
      </c>
      <c r="J320" s="112">
        <v>1215667</v>
      </c>
      <c r="K320" s="112">
        <v>1319998</v>
      </c>
      <c r="L320" s="112">
        <v>1373423</v>
      </c>
      <c r="M320" s="112">
        <v>1415326</v>
      </c>
      <c r="N320" s="112">
        <v>1494736</v>
      </c>
      <c r="O320" s="112">
        <v>1536642</v>
      </c>
      <c r="P320" s="112">
        <v>1602830</v>
      </c>
      <c r="R320" s="111" t="s">
        <v>131</v>
      </c>
      <c r="S320" s="220">
        <v>2.2000000000000002</v>
      </c>
      <c r="T320" s="220">
        <v>2.2999999999999998</v>
      </c>
      <c r="U320" s="220">
        <v>1.8</v>
      </c>
      <c r="V320" s="220">
        <v>1.7</v>
      </c>
      <c r="W320" s="220">
        <v>1.8</v>
      </c>
      <c r="X320" s="220">
        <v>2.4</v>
      </c>
      <c r="Y320" s="220">
        <v>1.9</v>
      </c>
      <c r="Z320" s="220">
        <v>2</v>
      </c>
      <c r="AA320" s="220">
        <v>1.9</v>
      </c>
      <c r="AC320" s="111" t="s">
        <v>131</v>
      </c>
      <c r="AD320" s="112">
        <f t="shared" si="273"/>
        <v>51089.72</v>
      </c>
      <c r="AE320" s="112">
        <f t="shared" si="273"/>
        <v>51539.55</v>
      </c>
      <c r="AF320" s="112">
        <f t="shared" si="306"/>
        <v>43764.012000000002</v>
      </c>
      <c r="AG320" s="112">
        <f t="shared" si="306"/>
        <v>44879.932000000001</v>
      </c>
      <c r="AH320" s="112">
        <f t="shared" si="306"/>
        <v>49443.227999999996</v>
      </c>
      <c r="AI320" s="112">
        <f t="shared" si="306"/>
        <v>67935.648000000001</v>
      </c>
      <c r="AJ320" s="112">
        <f t="shared" si="306"/>
        <v>56799.968000000001</v>
      </c>
      <c r="AK320" s="112">
        <f t="shared" si="306"/>
        <v>61465.68</v>
      </c>
      <c r="AL320" s="112">
        <f t="shared" si="306"/>
        <v>60907.54</v>
      </c>
      <c r="AN320" s="111" t="s">
        <v>131</v>
      </c>
      <c r="AO320" s="113">
        <f t="shared" ref="AO320:AW320" si="314">H320/H316</f>
        <v>0.36736924100077767</v>
      </c>
      <c r="AP320" s="113">
        <f t="shared" si="314"/>
        <v>0.34744887849142825</v>
      </c>
      <c r="AQ320" s="113">
        <f t="shared" si="314"/>
        <v>0.37020433507431849</v>
      </c>
      <c r="AR320" s="113">
        <f t="shared" si="314"/>
        <v>0.39418563364391423</v>
      </c>
      <c r="AS320" s="113">
        <f t="shared" si="314"/>
        <v>0.40392964553958438</v>
      </c>
      <c r="AT320" s="113">
        <f t="shared" si="314"/>
        <v>0.41032612398387946</v>
      </c>
      <c r="AU320" s="113">
        <f t="shared" si="314"/>
        <v>0.42520865928939211</v>
      </c>
      <c r="AV320" s="113">
        <f t="shared" si="314"/>
        <v>0.43102268739760125</v>
      </c>
      <c r="AW320" s="113">
        <f t="shared" si="314"/>
        <v>0.44388791790608906</v>
      </c>
      <c r="AY320" s="111" t="s">
        <v>131</v>
      </c>
      <c r="AZ320" s="179">
        <f t="shared" si="303"/>
        <v>1.6164246604034219E-2</v>
      </c>
      <c r="BA320" s="179">
        <f t="shared" si="303"/>
        <v>1.5982648410605697E-2</v>
      </c>
      <c r="BB320" s="179">
        <f t="shared" si="303"/>
        <v>1.3327356062675466E-2</v>
      </c>
      <c r="BC320" s="179">
        <f t="shared" si="301"/>
        <v>1.3402311543893083E-2</v>
      </c>
      <c r="BD320" s="179">
        <f t="shared" si="301"/>
        <v>1.4541467239425039E-2</v>
      </c>
      <c r="BE320" s="179">
        <f t="shared" si="301"/>
        <v>1.9695653951226213E-2</v>
      </c>
      <c r="BF320" s="179">
        <f t="shared" si="301"/>
        <v>1.61579290529969E-2</v>
      </c>
      <c r="BG320" s="179">
        <f t="shared" si="301"/>
        <v>1.724090749590405E-2</v>
      </c>
      <c r="BH320" s="179">
        <f t="shared" si="301"/>
        <v>1.6867740880431383E-2</v>
      </c>
    </row>
    <row r="321" spans="2:68" x14ac:dyDescent="0.3">
      <c r="H321" s="122" t="s">
        <v>122</v>
      </c>
      <c r="I321" s="122">
        <v>2003</v>
      </c>
      <c r="J321" s="122">
        <v>2005</v>
      </c>
      <c r="K321" s="122" t="s">
        <v>123</v>
      </c>
      <c r="L321" s="122" t="s">
        <v>124</v>
      </c>
      <c r="M321" s="122" t="s">
        <v>125</v>
      </c>
      <c r="N321" s="122" t="s">
        <v>126</v>
      </c>
      <c r="O321" s="122" t="s">
        <v>127</v>
      </c>
      <c r="P321" s="122" t="s">
        <v>128</v>
      </c>
      <c r="R321" s="111"/>
      <c r="S321" s="120" t="s">
        <v>122</v>
      </c>
      <c r="T321" s="121">
        <v>2003</v>
      </c>
      <c r="U321" s="121">
        <v>2005</v>
      </c>
      <c r="V321" s="122" t="s">
        <v>123</v>
      </c>
      <c r="W321" s="122" t="s">
        <v>124</v>
      </c>
      <c r="X321" s="122" t="s">
        <v>125</v>
      </c>
      <c r="Y321" s="122" t="s">
        <v>126</v>
      </c>
      <c r="Z321" s="122" t="s">
        <v>127</v>
      </c>
      <c r="AA321" s="122" t="s">
        <v>128</v>
      </c>
      <c r="AC321" s="197" t="s">
        <v>8</v>
      </c>
      <c r="AD321" s="120" t="s">
        <v>122</v>
      </c>
      <c r="AE321" s="121">
        <v>2003</v>
      </c>
      <c r="AF321" s="121">
        <v>2005</v>
      </c>
      <c r="AG321" s="122" t="s">
        <v>123</v>
      </c>
      <c r="AH321" s="122" t="s">
        <v>124</v>
      </c>
      <c r="AI321" s="122" t="s">
        <v>125</v>
      </c>
      <c r="AJ321" s="122" t="s">
        <v>126</v>
      </c>
      <c r="AK321" s="122" t="s">
        <v>127</v>
      </c>
      <c r="AL321" s="122" t="s">
        <v>128</v>
      </c>
      <c r="AN321" s="197" t="s">
        <v>8</v>
      </c>
      <c r="AO321" s="120" t="s">
        <v>122</v>
      </c>
      <c r="AP321" s="121">
        <v>2003</v>
      </c>
      <c r="AQ321" s="121">
        <v>2005</v>
      </c>
      <c r="AR321" s="122" t="s">
        <v>123</v>
      </c>
      <c r="AS321" s="122" t="s">
        <v>124</v>
      </c>
      <c r="AT321" s="122" t="s">
        <v>125</v>
      </c>
      <c r="AU321" s="122" t="s">
        <v>126</v>
      </c>
      <c r="AV321" s="122" t="s">
        <v>127</v>
      </c>
      <c r="AW321" s="122" t="s">
        <v>128</v>
      </c>
      <c r="AY321" s="197" t="s">
        <v>8</v>
      </c>
      <c r="AZ321" s="120" t="s">
        <v>122</v>
      </c>
      <c r="BA321" s="121">
        <v>2003</v>
      </c>
      <c r="BB321" s="121">
        <v>2005</v>
      </c>
      <c r="BC321" s="122" t="s">
        <v>123</v>
      </c>
      <c r="BD321" s="122" t="s">
        <v>124</v>
      </c>
      <c r="BE321" s="122" t="s">
        <v>125</v>
      </c>
      <c r="BF321" s="122" t="s">
        <v>126</v>
      </c>
      <c r="BG321" s="122" t="s">
        <v>127</v>
      </c>
      <c r="BH321" s="122" t="s">
        <v>128</v>
      </c>
    </row>
    <row r="322" spans="2:68" s="87" customFormat="1" x14ac:dyDescent="0.25">
      <c r="B322" s="84"/>
      <c r="C322" s="85"/>
      <c r="D322" s="85"/>
      <c r="E322" s="109" t="s">
        <v>0</v>
      </c>
      <c r="F322" s="110" t="s">
        <v>64</v>
      </c>
      <c r="G322" s="195" t="s">
        <v>7</v>
      </c>
      <c r="H322" s="69">
        <v>1235761</v>
      </c>
      <c r="I322" s="69">
        <v>1289901</v>
      </c>
      <c r="J322" s="69">
        <v>1320266</v>
      </c>
      <c r="K322" s="69">
        <v>1351009</v>
      </c>
      <c r="L322" s="69">
        <v>1341233</v>
      </c>
      <c r="M322" s="69">
        <v>1304199</v>
      </c>
      <c r="N322" s="69">
        <v>1281609</v>
      </c>
      <c r="O322" s="69">
        <v>1259591</v>
      </c>
      <c r="P322" s="69">
        <v>1274217</v>
      </c>
      <c r="R322" s="195" t="s">
        <v>7</v>
      </c>
      <c r="S322" s="226">
        <v>0.6</v>
      </c>
      <c r="T322" s="226">
        <v>0.6</v>
      </c>
      <c r="U322" s="226">
        <v>0.6</v>
      </c>
      <c r="V322" s="226">
        <v>0.7</v>
      </c>
      <c r="W322" s="226">
        <v>0.6</v>
      </c>
      <c r="X322" s="226">
        <v>0.6</v>
      </c>
      <c r="Y322" s="226">
        <v>0.8</v>
      </c>
      <c r="Z322" s="226">
        <v>1.1000000000000001</v>
      </c>
      <c r="AA322" s="226">
        <v>1.1000000000000001</v>
      </c>
      <c r="AC322" s="195" t="s">
        <v>7</v>
      </c>
      <c r="AD322" s="69">
        <f>2*(H322*S322/100)</f>
        <v>14829.132</v>
      </c>
      <c r="AE322" s="69">
        <f t="shared" ref="AE322:AL354" si="315">2*(I322*T322/100)</f>
        <v>15478.812</v>
      </c>
      <c r="AF322" s="69">
        <f t="shared" si="315"/>
        <v>15843.191999999999</v>
      </c>
      <c r="AG322" s="69">
        <f t="shared" si="315"/>
        <v>18914.126</v>
      </c>
      <c r="AH322" s="69">
        <f t="shared" si="315"/>
        <v>16094.795999999998</v>
      </c>
      <c r="AI322" s="69">
        <f t="shared" si="315"/>
        <v>15650.388000000001</v>
      </c>
      <c r="AJ322" s="69">
        <f t="shared" si="315"/>
        <v>20505.744000000002</v>
      </c>
      <c r="AK322" s="69">
        <f>2*(O322*Z322/100)</f>
        <v>27711.002</v>
      </c>
      <c r="AL322" s="69">
        <f>2*(P322*AA322/100)</f>
        <v>28032.774000000005</v>
      </c>
      <c r="AN322" s="195" t="s">
        <v>7</v>
      </c>
      <c r="AO322" s="98">
        <f t="shared" ref="AO322:AW322" si="316">H322/H322</f>
        <v>1</v>
      </c>
      <c r="AP322" s="98">
        <f t="shared" si="316"/>
        <v>1</v>
      </c>
      <c r="AQ322" s="98">
        <f t="shared" si="316"/>
        <v>1</v>
      </c>
      <c r="AR322" s="98">
        <f t="shared" si="316"/>
        <v>1</v>
      </c>
      <c r="AS322" s="98">
        <f t="shared" si="316"/>
        <v>1</v>
      </c>
      <c r="AT322" s="98">
        <f t="shared" si="316"/>
        <v>1</v>
      </c>
      <c r="AU322" s="98">
        <f t="shared" si="316"/>
        <v>1</v>
      </c>
      <c r="AV322" s="98">
        <f t="shared" si="316"/>
        <v>1</v>
      </c>
      <c r="AW322" s="98">
        <f t="shared" si="316"/>
        <v>1</v>
      </c>
      <c r="AX322" s="191"/>
      <c r="AY322" s="195" t="s">
        <v>7</v>
      </c>
      <c r="AZ322" s="178">
        <f t="shared" ref="AZ322:BH350" si="317">2*(S322*AO322/100)</f>
        <v>1.2E-2</v>
      </c>
      <c r="BA322" s="178">
        <f t="shared" si="317"/>
        <v>1.2E-2</v>
      </c>
      <c r="BB322" s="178">
        <f t="shared" si="317"/>
        <v>1.2E-2</v>
      </c>
      <c r="BC322" s="178">
        <f t="shared" si="317"/>
        <v>1.3999999999999999E-2</v>
      </c>
      <c r="BD322" s="178">
        <f t="shared" si="317"/>
        <v>1.2E-2</v>
      </c>
      <c r="BE322" s="178">
        <f t="shared" si="317"/>
        <v>1.2E-2</v>
      </c>
      <c r="BF322" s="178">
        <f t="shared" si="317"/>
        <v>1.6E-2</v>
      </c>
      <c r="BG322" s="178">
        <f t="shared" si="317"/>
        <v>2.2000000000000002E-2</v>
      </c>
      <c r="BH322" s="178">
        <f t="shared" si="317"/>
        <v>2.2000000000000002E-2</v>
      </c>
      <c r="BI322" s="191"/>
      <c r="BJ322" s="191"/>
      <c r="BK322" s="191"/>
      <c r="BL322" s="191"/>
      <c r="BM322" s="191"/>
      <c r="BN322" s="191"/>
      <c r="BO322" s="191"/>
      <c r="BP322" s="191"/>
    </row>
    <row r="323" spans="2:68" s="108" customFormat="1" x14ac:dyDescent="0.25">
      <c r="B323" s="107"/>
      <c r="E323" s="109" t="s">
        <v>0</v>
      </c>
      <c r="F323" s="110" t="s">
        <v>64</v>
      </c>
      <c r="G323" s="111" t="s">
        <v>54</v>
      </c>
      <c r="H323" s="112">
        <v>205459</v>
      </c>
      <c r="I323" s="112">
        <v>176428</v>
      </c>
      <c r="J323" s="112">
        <v>141503</v>
      </c>
      <c r="K323" s="112">
        <v>125464</v>
      </c>
      <c r="L323" s="112">
        <v>118293</v>
      </c>
      <c r="M323" s="112">
        <v>83475</v>
      </c>
      <c r="N323" s="112">
        <v>84255</v>
      </c>
      <c r="O323" s="112">
        <v>81092</v>
      </c>
      <c r="P323" s="112">
        <v>79151</v>
      </c>
      <c r="R323" s="111" t="s">
        <v>54</v>
      </c>
      <c r="S323" s="220">
        <v>5</v>
      </c>
      <c r="T323" s="220">
        <v>5.9</v>
      </c>
      <c r="U323" s="220">
        <v>6.6</v>
      </c>
      <c r="V323" s="220">
        <v>7.1</v>
      </c>
      <c r="W323" s="220">
        <v>8.4</v>
      </c>
      <c r="X323" s="220">
        <v>10.5</v>
      </c>
      <c r="Y323" s="220">
        <v>10.7</v>
      </c>
      <c r="Z323" s="220">
        <v>11.5</v>
      </c>
      <c r="AA323" s="220">
        <v>12.1</v>
      </c>
      <c r="AC323" s="111" t="s">
        <v>54</v>
      </c>
      <c r="AD323" s="112">
        <f>2*(H323*S323/100)</f>
        <v>20545.900000000001</v>
      </c>
      <c r="AE323" s="112">
        <f t="shared" si="315"/>
        <v>20818.504000000001</v>
      </c>
      <c r="AF323" s="112">
        <f t="shared" si="315"/>
        <v>18678.395999999997</v>
      </c>
      <c r="AG323" s="112">
        <f t="shared" si="315"/>
        <v>17815.887999999999</v>
      </c>
      <c r="AH323" s="112">
        <f t="shared" si="315"/>
        <v>19873.224000000002</v>
      </c>
      <c r="AI323" s="112">
        <f t="shared" si="315"/>
        <v>17529.75</v>
      </c>
      <c r="AJ323" s="112">
        <f t="shared" si="315"/>
        <v>18030.569999999996</v>
      </c>
      <c r="AK323" s="112">
        <f t="shared" si="315"/>
        <v>18651.16</v>
      </c>
      <c r="AL323" s="112">
        <f t="shared" si="315"/>
        <v>19154.542000000001</v>
      </c>
      <c r="AN323" s="111" t="s">
        <v>54</v>
      </c>
      <c r="AO323" s="113">
        <f t="shared" ref="AO323:AW323" si="318">H323/H322</f>
        <v>0.16626111359720852</v>
      </c>
      <c r="AP323" s="113">
        <f t="shared" si="318"/>
        <v>0.13677638826545604</v>
      </c>
      <c r="AQ323" s="113">
        <f t="shared" si="318"/>
        <v>0.10717764450497097</v>
      </c>
      <c r="AR323" s="113">
        <f t="shared" si="318"/>
        <v>9.2866886897126522E-2</v>
      </c>
      <c r="AS323" s="113">
        <f t="shared" si="318"/>
        <v>8.8197203617865053E-2</v>
      </c>
      <c r="AT323" s="113">
        <f t="shared" si="318"/>
        <v>6.4004802948016373E-2</v>
      </c>
      <c r="AU323" s="113">
        <f t="shared" si="318"/>
        <v>6.5741579530106301E-2</v>
      </c>
      <c r="AV323" s="113">
        <f t="shared" si="318"/>
        <v>6.4379627990355598E-2</v>
      </c>
      <c r="AW323" s="113">
        <f t="shared" si="318"/>
        <v>6.2117363055115414E-2</v>
      </c>
      <c r="AY323" s="111" t="s">
        <v>54</v>
      </c>
      <c r="AZ323" s="179">
        <f t="shared" si="317"/>
        <v>1.6626111359720853E-2</v>
      </c>
      <c r="BA323" s="179">
        <f t="shared" si="317"/>
        <v>1.6139613815323816E-2</v>
      </c>
      <c r="BB323" s="179">
        <f t="shared" si="317"/>
        <v>1.4147449074656166E-2</v>
      </c>
      <c r="BC323" s="179">
        <f t="shared" si="317"/>
        <v>1.3187097939391965E-2</v>
      </c>
      <c r="BD323" s="179">
        <f t="shared" si="317"/>
        <v>1.481713020780133E-2</v>
      </c>
      <c r="BE323" s="179">
        <f t="shared" si="317"/>
        <v>1.3441008619083438E-2</v>
      </c>
      <c r="BF323" s="179">
        <f t="shared" si="317"/>
        <v>1.4068698019442747E-2</v>
      </c>
      <c r="BG323" s="179">
        <f t="shared" si="317"/>
        <v>1.4807314437781787E-2</v>
      </c>
      <c r="BH323" s="179">
        <f t="shared" si="317"/>
        <v>1.503240185933793E-2</v>
      </c>
    </row>
    <row r="324" spans="2:68" s="108" customFormat="1" x14ac:dyDescent="0.25">
      <c r="B324" s="107"/>
      <c r="E324" s="109" t="s">
        <v>0</v>
      </c>
      <c r="F324" s="110" t="s">
        <v>64</v>
      </c>
      <c r="G324" s="111" t="s">
        <v>55</v>
      </c>
      <c r="H324" s="70">
        <v>34427</v>
      </c>
      <c r="I324" s="70">
        <v>25615</v>
      </c>
      <c r="J324" s="112">
        <v>27786</v>
      </c>
      <c r="K324" s="112">
        <v>23660</v>
      </c>
      <c r="L324" s="112">
        <v>18206</v>
      </c>
      <c r="M324" s="112">
        <v>13357</v>
      </c>
      <c r="N324" s="112">
        <v>14913</v>
      </c>
      <c r="O324" s="112" t="s">
        <v>129</v>
      </c>
      <c r="P324" s="112" t="s">
        <v>129</v>
      </c>
      <c r="R324" s="111" t="s">
        <v>55</v>
      </c>
      <c r="S324" s="81">
        <v>13.8</v>
      </c>
      <c r="T324" s="81">
        <v>15.2</v>
      </c>
      <c r="U324" s="81">
        <v>15.4</v>
      </c>
      <c r="V324" s="81">
        <v>16.100000000000001</v>
      </c>
      <c r="W324" s="81">
        <v>20.7</v>
      </c>
      <c r="X324" s="81">
        <v>27.3</v>
      </c>
      <c r="Y324" s="81">
        <v>26.1</v>
      </c>
      <c r="Z324" s="81"/>
      <c r="AA324" s="81"/>
      <c r="AC324" s="111" t="s">
        <v>55</v>
      </c>
      <c r="AD324" s="70">
        <f t="shared" ref="AD324:AE361" si="319">2*(H324*S324/100)</f>
        <v>9501.8520000000008</v>
      </c>
      <c r="AE324" s="70">
        <f t="shared" si="315"/>
        <v>7786.96</v>
      </c>
      <c r="AF324" s="70">
        <f t="shared" si="315"/>
        <v>8558.0879999999997</v>
      </c>
      <c r="AG324" s="70">
        <f t="shared" si="315"/>
        <v>7618.5200000000013</v>
      </c>
      <c r="AH324" s="70">
        <f t="shared" si="315"/>
        <v>7537.2840000000006</v>
      </c>
      <c r="AI324" s="70">
        <f t="shared" si="315"/>
        <v>7292.9220000000005</v>
      </c>
      <c r="AJ324" s="70">
        <f t="shared" si="315"/>
        <v>7784.5860000000011</v>
      </c>
      <c r="AK324" s="70" t="e">
        <f t="shared" si="315"/>
        <v>#VALUE!</v>
      </c>
      <c r="AL324" s="70" t="e">
        <f t="shared" si="315"/>
        <v>#VALUE!</v>
      </c>
      <c r="AN324" s="111" t="s">
        <v>55</v>
      </c>
      <c r="AO324" s="113">
        <f t="shared" ref="AO324:AW324" si="320">H324/H322</f>
        <v>2.7858946835189004E-2</v>
      </c>
      <c r="AP324" s="113">
        <f t="shared" si="320"/>
        <v>1.9858113142016326E-2</v>
      </c>
      <c r="AQ324" s="113">
        <f t="shared" si="320"/>
        <v>2.1045758960694286E-2</v>
      </c>
      <c r="AR324" s="113">
        <f t="shared" si="320"/>
        <v>1.7512836702050099E-2</v>
      </c>
      <c r="AS324" s="113">
        <f t="shared" si="320"/>
        <v>1.3574076987369085E-2</v>
      </c>
      <c r="AT324" s="113">
        <f t="shared" si="320"/>
        <v>1.0241535225835935E-2</v>
      </c>
      <c r="AU324" s="113">
        <f t="shared" si="320"/>
        <v>1.1636154240489884E-2</v>
      </c>
      <c r="AV324" s="113" t="e">
        <f t="shared" si="320"/>
        <v>#VALUE!</v>
      </c>
      <c r="AW324" s="113" t="e">
        <f t="shared" si="320"/>
        <v>#VALUE!</v>
      </c>
      <c r="AY324" s="111" t="s">
        <v>55</v>
      </c>
      <c r="AZ324" s="179">
        <f t="shared" si="317"/>
        <v>7.689069326512166E-3</v>
      </c>
      <c r="BA324" s="179">
        <f t="shared" si="317"/>
        <v>6.036866395172963E-3</v>
      </c>
      <c r="BB324" s="179">
        <f t="shared" si="317"/>
        <v>6.4820937598938401E-3</v>
      </c>
      <c r="BC324" s="179">
        <f t="shared" si="317"/>
        <v>5.6391334180601327E-3</v>
      </c>
      <c r="BD324" s="179">
        <f t="shared" si="317"/>
        <v>5.6196678727708001E-3</v>
      </c>
      <c r="BE324" s="179">
        <f t="shared" si="317"/>
        <v>5.59187823330642E-3</v>
      </c>
      <c r="BF324" s="179">
        <f t="shared" si="317"/>
        <v>6.0740725135357198E-3</v>
      </c>
      <c r="BG324" s="179" t="e">
        <f t="shared" si="317"/>
        <v>#VALUE!</v>
      </c>
      <c r="BH324" s="179" t="e">
        <f t="shared" si="317"/>
        <v>#VALUE!</v>
      </c>
    </row>
    <row r="325" spans="2:68" s="108" customFormat="1" x14ac:dyDescent="0.25">
      <c r="B325" s="107"/>
      <c r="E325" s="109" t="s">
        <v>0</v>
      </c>
      <c r="F325" s="110" t="s">
        <v>64</v>
      </c>
      <c r="G325" s="111" t="s">
        <v>130</v>
      </c>
      <c r="H325" s="70">
        <v>141354</v>
      </c>
      <c r="I325" s="70">
        <v>133323</v>
      </c>
      <c r="J325" s="70">
        <v>108221</v>
      </c>
      <c r="K325" s="70">
        <v>111135</v>
      </c>
      <c r="L325" s="70">
        <v>96879</v>
      </c>
      <c r="M325" s="70">
        <v>75979</v>
      </c>
      <c r="N325" s="70">
        <v>81926</v>
      </c>
      <c r="O325" s="112">
        <v>42104</v>
      </c>
      <c r="P325" s="112">
        <v>57636</v>
      </c>
      <c r="R325" s="111" t="s">
        <v>130</v>
      </c>
      <c r="S325" s="220">
        <v>6.5</v>
      </c>
      <c r="T325" s="220">
        <v>6.5</v>
      </c>
      <c r="U325" s="220">
        <v>7.5</v>
      </c>
      <c r="V325" s="220">
        <v>7.9</v>
      </c>
      <c r="W325" s="220">
        <v>8.6</v>
      </c>
      <c r="X325" s="220" t="s">
        <v>162</v>
      </c>
      <c r="Y325" s="220">
        <v>10.7</v>
      </c>
      <c r="Z325" s="220">
        <v>16.600000000000001</v>
      </c>
      <c r="AA325" s="220">
        <v>14.2</v>
      </c>
      <c r="AC325" s="111" t="s">
        <v>130</v>
      </c>
      <c r="AD325" s="70">
        <f t="shared" si="319"/>
        <v>18376.02</v>
      </c>
      <c r="AE325" s="70">
        <f t="shared" si="315"/>
        <v>17331.990000000002</v>
      </c>
      <c r="AF325" s="70">
        <f t="shared" si="315"/>
        <v>16233.15</v>
      </c>
      <c r="AG325" s="70">
        <f t="shared" si="315"/>
        <v>17559.330000000002</v>
      </c>
      <c r="AH325" s="70">
        <f t="shared" si="315"/>
        <v>16663.188000000002</v>
      </c>
      <c r="AI325" s="70" t="e">
        <f t="shared" si="315"/>
        <v>#VALUE!</v>
      </c>
      <c r="AJ325" s="70">
        <f t="shared" si="315"/>
        <v>17532.164000000001</v>
      </c>
      <c r="AK325" s="70">
        <f t="shared" si="315"/>
        <v>13978.528</v>
      </c>
      <c r="AL325" s="70">
        <f t="shared" si="315"/>
        <v>16368.624</v>
      </c>
      <c r="AN325" s="111" t="s">
        <v>130</v>
      </c>
      <c r="AO325" s="113">
        <f t="shared" ref="AO325:AW325" si="321">H325/H322</f>
        <v>0.11438619603628856</v>
      </c>
      <c r="AP325" s="113">
        <f t="shared" si="321"/>
        <v>0.10335909500031398</v>
      </c>
      <c r="AQ325" s="113">
        <f t="shared" si="321"/>
        <v>8.1969088047408628E-2</v>
      </c>
      <c r="AR325" s="113">
        <f t="shared" si="321"/>
        <v>8.2260739935855351E-2</v>
      </c>
      <c r="AS325" s="113">
        <f t="shared" si="321"/>
        <v>7.2231297619429286E-2</v>
      </c>
      <c r="AT325" s="113">
        <f t="shared" si="321"/>
        <v>5.8257213814762933E-2</v>
      </c>
      <c r="AU325" s="113">
        <f t="shared" si="321"/>
        <v>6.3924332616265955E-2</v>
      </c>
      <c r="AV325" s="113">
        <f t="shared" si="321"/>
        <v>3.3426723436417061E-2</v>
      </c>
      <c r="AW325" s="113">
        <f t="shared" si="321"/>
        <v>4.5232483948966305E-2</v>
      </c>
      <c r="AY325" s="111" t="s">
        <v>130</v>
      </c>
      <c r="AZ325" s="179">
        <f t="shared" si="317"/>
        <v>1.4870205484717514E-2</v>
      </c>
      <c r="BA325" s="179">
        <f t="shared" si="317"/>
        <v>1.3436682350040818E-2</v>
      </c>
      <c r="BB325" s="179">
        <f t="shared" si="317"/>
        <v>1.2295363207111294E-2</v>
      </c>
      <c r="BC325" s="179">
        <f t="shared" si="317"/>
        <v>1.2997196909865146E-2</v>
      </c>
      <c r="BD325" s="179">
        <f t="shared" si="317"/>
        <v>1.2423783190541837E-2</v>
      </c>
      <c r="BE325" s="179" t="e">
        <f t="shared" si="317"/>
        <v>#VALUE!</v>
      </c>
      <c r="BF325" s="179">
        <f t="shared" si="317"/>
        <v>1.3679807179880914E-2</v>
      </c>
      <c r="BG325" s="179">
        <f t="shared" si="317"/>
        <v>1.1097672180890465E-2</v>
      </c>
      <c r="BH325" s="179">
        <f t="shared" si="317"/>
        <v>1.2846025441506431E-2</v>
      </c>
    </row>
    <row r="326" spans="2:68" s="108" customFormat="1" x14ac:dyDescent="0.25">
      <c r="B326" s="107"/>
      <c r="E326" s="109" t="s">
        <v>0</v>
      </c>
      <c r="F326" s="110" t="s">
        <v>64</v>
      </c>
      <c r="G326" s="111" t="s">
        <v>131</v>
      </c>
      <c r="H326" s="112">
        <v>854320</v>
      </c>
      <c r="I326" s="112">
        <v>954536</v>
      </c>
      <c r="J326" s="112">
        <v>1042756</v>
      </c>
      <c r="K326" s="112">
        <v>1090750</v>
      </c>
      <c r="L326" s="112">
        <v>1107855</v>
      </c>
      <c r="M326" s="112">
        <v>1131388</v>
      </c>
      <c r="N326" s="112">
        <v>1100515</v>
      </c>
      <c r="O326" s="112">
        <v>1127838</v>
      </c>
      <c r="P326" s="112">
        <v>1132250</v>
      </c>
      <c r="R326" s="111" t="s">
        <v>131</v>
      </c>
      <c r="S326" s="220">
        <v>2</v>
      </c>
      <c r="T326" s="220">
        <v>1.5</v>
      </c>
      <c r="U326" s="220">
        <v>1.3</v>
      </c>
      <c r="V326" s="220">
        <v>1.4</v>
      </c>
      <c r="W326" s="220">
        <v>1.1000000000000001</v>
      </c>
      <c r="X326" s="220">
        <v>3</v>
      </c>
      <c r="Y326" s="220">
        <v>1.7</v>
      </c>
      <c r="Z326" s="220">
        <v>1.1000000000000001</v>
      </c>
      <c r="AA326" s="220">
        <v>1.9</v>
      </c>
      <c r="AC326" s="111" t="s">
        <v>131</v>
      </c>
      <c r="AD326" s="112">
        <f t="shared" si="319"/>
        <v>34172.800000000003</v>
      </c>
      <c r="AE326" s="112">
        <f t="shared" si="315"/>
        <v>28636.080000000002</v>
      </c>
      <c r="AF326" s="112">
        <f t="shared" si="315"/>
        <v>27111.656000000003</v>
      </c>
      <c r="AG326" s="112">
        <f t="shared" si="315"/>
        <v>30541</v>
      </c>
      <c r="AH326" s="112">
        <f t="shared" si="315"/>
        <v>24372.81</v>
      </c>
      <c r="AI326" s="112">
        <f t="shared" si="315"/>
        <v>67883.28</v>
      </c>
      <c r="AJ326" s="112">
        <f t="shared" si="315"/>
        <v>37417.51</v>
      </c>
      <c r="AK326" s="112">
        <f t="shared" si="315"/>
        <v>24812.436000000002</v>
      </c>
      <c r="AL326" s="112">
        <f t="shared" si="315"/>
        <v>43025.5</v>
      </c>
      <c r="AN326" s="111" t="s">
        <v>131</v>
      </c>
      <c r="AO326" s="113">
        <f t="shared" ref="AO326:AW326" si="322">H326/H322</f>
        <v>0.69133109072061671</v>
      </c>
      <c r="AP326" s="113">
        <f t="shared" si="322"/>
        <v>0.74000717884550826</v>
      </c>
      <c r="AQ326" s="113">
        <f t="shared" si="322"/>
        <v>0.78980750848692616</v>
      </c>
      <c r="AR326" s="113">
        <f t="shared" si="322"/>
        <v>0.80735953646496805</v>
      </c>
      <c r="AS326" s="113">
        <f t="shared" si="322"/>
        <v>0.82599742177533653</v>
      </c>
      <c r="AT326" s="113">
        <f t="shared" si="322"/>
        <v>0.86749644801138481</v>
      </c>
      <c r="AU326" s="113">
        <f t="shared" si="322"/>
        <v>0.85869793361313784</v>
      </c>
      <c r="AV326" s="113">
        <f t="shared" si="322"/>
        <v>0.89540017354839785</v>
      </c>
      <c r="AW326" s="113">
        <f t="shared" si="322"/>
        <v>0.88858491136125162</v>
      </c>
      <c r="AY326" s="111" t="s">
        <v>131</v>
      </c>
      <c r="AZ326" s="179">
        <f t="shared" si="317"/>
        <v>2.7653243628824667E-2</v>
      </c>
      <c r="BA326" s="179">
        <f t="shared" si="317"/>
        <v>2.2200215365365247E-2</v>
      </c>
      <c r="BB326" s="179">
        <f t="shared" si="317"/>
        <v>2.0534995220660081E-2</v>
      </c>
      <c r="BC326" s="179">
        <f t="shared" si="317"/>
        <v>2.2606067021019104E-2</v>
      </c>
      <c r="BD326" s="179">
        <f t="shared" si="317"/>
        <v>1.8171943279057405E-2</v>
      </c>
      <c r="BE326" s="179">
        <f t="shared" si="317"/>
        <v>5.204978688068309E-2</v>
      </c>
      <c r="BF326" s="179">
        <f t="shared" si="317"/>
        <v>2.9195729742846687E-2</v>
      </c>
      <c r="BG326" s="179">
        <f t="shared" si="317"/>
        <v>1.9698803818064756E-2</v>
      </c>
      <c r="BH326" s="179">
        <f t="shared" si="317"/>
        <v>3.3766226631727563E-2</v>
      </c>
    </row>
    <row r="327" spans="2:68" s="87" customFormat="1" x14ac:dyDescent="0.25">
      <c r="B327" s="84"/>
      <c r="C327" s="85"/>
      <c r="D327" s="85"/>
      <c r="E327" s="109" t="s">
        <v>1</v>
      </c>
      <c r="F327" s="110" t="s">
        <v>64</v>
      </c>
      <c r="G327" s="195" t="s">
        <v>7</v>
      </c>
      <c r="H327" s="69">
        <v>1570414</v>
      </c>
      <c r="I327" s="69">
        <v>1606538</v>
      </c>
      <c r="J327" s="69">
        <v>1667518</v>
      </c>
      <c r="K327" s="69">
        <v>1715640</v>
      </c>
      <c r="L327" s="69">
        <v>1773765</v>
      </c>
      <c r="M327" s="69">
        <v>1844618</v>
      </c>
      <c r="N327" s="69">
        <v>1875464</v>
      </c>
      <c r="O327" s="69">
        <v>1793978</v>
      </c>
      <c r="P327" s="69">
        <v>1861128</v>
      </c>
      <c r="R327" s="195" t="s">
        <v>7</v>
      </c>
      <c r="S327" s="226">
        <v>0.6</v>
      </c>
      <c r="T327" s="226">
        <v>0.6</v>
      </c>
      <c r="U327" s="226">
        <v>0.5</v>
      </c>
      <c r="V327" s="226">
        <v>0.6</v>
      </c>
      <c r="W327" s="226">
        <v>0.6</v>
      </c>
      <c r="X327" s="226">
        <v>0.7</v>
      </c>
      <c r="Y327" s="226">
        <v>0.7</v>
      </c>
      <c r="Z327" s="226">
        <v>0.9</v>
      </c>
      <c r="AA327" s="226">
        <v>0.9</v>
      </c>
      <c r="AC327" s="195" t="s">
        <v>7</v>
      </c>
      <c r="AD327" s="69">
        <f t="shared" si="319"/>
        <v>18844.968000000001</v>
      </c>
      <c r="AE327" s="69">
        <f t="shared" si="315"/>
        <v>19278.455999999998</v>
      </c>
      <c r="AF327" s="69">
        <f t="shared" si="315"/>
        <v>16675.18</v>
      </c>
      <c r="AG327" s="69">
        <f t="shared" si="315"/>
        <v>20587.68</v>
      </c>
      <c r="AH327" s="69">
        <f t="shared" si="315"/>
        <v>21285.18</v>
      </c>
      <c r="AI327" s="69">
        <f t="shared" si="315"/>
        <v>25824.651999999998</v>
      </c>
      <c r="AJ327" s="69">
        <f t="shared" si="315"/>
        <v>26256.495999999996</v>
      </c>
      <c r="AK327" s="69">
        <f t="shared" si="315"/>
        <v>32291.603999999999</v>
      </c>
      <c r="AL327" s="69">
        <f t="shared" si="315"/>
        <v>33500.303999999996</v>
      </c>
      <c r="AN327" s="195" t="s">
        <v>7</v>
      </c>
      <c r="AO327" s="98">
        <f t="shared" ref="AO327:AW327" si="323">H327/H327</f>
        <v>1</v>
      </c>
      <c r="AP327" s="98">
        <f t="shared" si="323"/>
        <v>1</v>
      </c>
      <c r="AQ327" s="98">
        <f t="shared" si="323"/>
        <v>1</v>
      </c>
      <c r="AR327" s="98">
        <f t="shared" si="323"/>
        <v>1</v>
      </c>
      <c r="AS327" s="98">
        <f t="shared" si="323"/>
        <v>1</v>
      </c>
      <c r="AT327" s="98">
        <f t="shared" si="323"/>
        <v>1</v>
      </c>
      <c r="AU327" s="98">
        <f t="shared" si="323"/>
        <v>1</v>
      </c>
      <c r="AV327" s="98">
        <f t="shared" si="323"/>
        <v>1</v>
      </c>
      <c r="AW327" s="98">
        <f t="shared" si="323"/>
        <v>1</v>
      </c>
      <c r="AX327" s="191"/>
      <c r="AY327" s="195" t="s">
        <v>7</v>
      </c>
      <c r="AZ327" s="178">
        <f t="shared" si="317"/>
        <v>1.2E-2</v>
      </c>
      <c r="BA327" s="178">
        <f t="shared" si="317"/>
        <v>1.2E-2</v>
      </c>
      <c r="BB327" s="178">
        <f t="shared" si="317"/>
        <v>0.01</v>
      </c>
      <c r="BC327" s="178">
        <f t="shared" si="317"/>
        <v>1.2E-2</v>
      </c>
      <c r="BD327" s="178">
        <f t="shared" si="317"/>
        <v>1.2E-2</v>
      </c>
      <c r="BE327" s="178">
        <f t="shared" si="317"/>
        <v>1.3999999999999999E-2</v>
      </c>
      <c r="BF327" s="178">
        <f t="shared" si="317"/>
        <v>1.3999999999999999E-2</v>
      </c>
      <c r="BG327" s="178">
        <f t="shared" si="317"/>
        <v>1.8000000000000002E-2</v>
      </c>
      <c r="BH327" s="178">
        <f t="shared" si="317"/>
        <v>1.8000000000000002E-2</v>
      </c>
      <c r="BI327" s="191"/>
      <c r="BJ327" s="191"/>
      <c r="BK327" s="191"/>
      <c r="BL327" s="191"/>
      <c r="BM327" s="191"/>
      <c r="BN327" s="191"/>
      <c r="BO327" s="191"/>
      <c r="BP327" s="191"/>
    </row>
    <row r="328" spans="2:68" s="108" customFormat="1" x14ac:dyDescent="0.25">
      <c r="B328" s="107"/>
      <c r="E328" s="109" t="s">
        <v>1</v>
      </c>
      <c r="F328" s="110" t="s">
        <v>64</v>
      </c>
      <c r="G328" s="111" t="s">
        <v>54</v>
      </c>
      <c r="H328" s="112">
        <v>517288</v>
      </c>
      <c r="I328" s="112">
        <v>505809</v>
      </c>
      <c r="J328" s="112">
        <v>495755</v>
      </c>
      <c r="K328" s="112">
        <v>521148</v>
      </c>
      <c r="L328" s="112">
        <v>460547</v>
      </c>
      <c r="M328" s="112">
        <v>475442</v>
      </c>
      <c r="N328" s="112">
        <v>447634</v>
      </c>
      <c r="O328" s="112">
        <v>367216</v>
      </c>
      <c r="P328" s="112">
        <v>339366</v>
      </c>
      <c r="R328" s="111" t="s">
        <v>54</v>
      </c>
      <c r="S328" s="220">
        <v>2.9</v>
      </c>
      <c r="T328" s="220">
        <v>2.9</v>
      </c>
      <c r="U328" s="220">
        <v>3</v>
      </c>
      <c r="V328" s="220">
        <v>2.5</v>
      </c>
      <c r="W328" s="220">
        <v>3.6</v>
      </c>
      <c r="X328" s="220">
        <v>4</v>
      </c>
      <c r="Y328" s="220">
        <v>4.4000000000000004</v>
      </c>
      <c r="Z328" s="220">
        <v>5.0999999999999996</v>
      </c>
      <c r="AA328" s="220">
        <v>5.7</v>
      </c>
      <c r="AC328" s="111" t="s">
        <v>54</v>
      </c>
      <c r="AD328" s="112">
        <f t="shared" si="319"/>
        <v>30002.703999999998</v>
      </c>
      <c r="AE328" s="112">
        <f t="shared" si="315"/>
        <v>29336.921999999999</v>
      </c>
      <c r="AF328" s="112">
        <f t="shared" si="315"/>
        <v>29745.3</v>
      </c>
      <c r="AG328" s="112">
        <f t="shared" si="315"/>
        <v>26057.4</v>
      </c>
      <c r="AH328" s="112">
        <f t="shared" si="315"/>
        <v>33159.383999999998</v>
      </c>
      <c r="AI328" s="112">
        <f t="shared" si="315"/>
        <v>38035.360000000001</v>
      </c>
      <c r="AJ328" s="112">
        <f t="shared" si="315"/>
        <v>39391.792000000001</v>
      </c>
      <c r="AK328" s="112">
        <f t="shared" si="315"/>
        <v>37456.031999999999</v>
      </c>
      <c r="AL328" s="112">
        <f t="shared" si="315"/>
        <v>38687.724000000002</v>
      </c>
      <c r="AN328" s="111" t="s">
        <v>54</v>
      </c>
      <c r="AO328" s="113">
        <f t="shared" ref="AO328:AW328" si="324">H328/H327</f>
        <v>0.32939594272593087</v>
      </c>
      <c r="AP328" s="113">
        <f t="shared" si="324"/>
        <v>0.3148440933236562</v>
      </c>
      <c r="AQ328" s="113">
        <f t="shared" si="324"/>
        <v>0.29730113857841417</v>
      </c>
      <c r="AR328" s="113">
        <f t="shared" si="324"/>
        <v>0.30376302720850529</v>
      </c>
      <c r="AS328" s="113">
        <f t="shared" si="324"/>
        <v>0.25964375213176494</v>
      </c>
      <c r="AT328" s="113">
        <f t="shared" si="324"/>
        <v>0.25774550611562935</v>
      </c>
      <c r="AU328" s="113">
        <f t="shared" si="324"/>
        <v>0.23867906821991786</v>
      </c>
      <c r="AV328" s="113">
        <f t="shared" si="324"/>
        <v>0.20469370304429596</v>
      </c>
      <c r="AW328" s="113">
        <f t="shared" si="324"/>
        <v>0.18234425574167923</v>
      </c>
      <c r="AY328" s="111" t="s">
        <v>54</v>
      </c>
      <c r="AZ328" s="179">
        <f t="shared" si="317"/>
        <v>1.9104964678103992E-2</v>
      </c>
      <c r="BA328" s="179">
        <f t="shared" si="317"/>
        <v>1.8260957412772057E-2</v>
      </c>
      <c r="BB328" s="179">
        <f t="shared" si="317"/>
        <v>1.7838068314704851E-2</v>
      </c>
      <c r="BC328" s="179">
        <f t="shared" si="317"/>
        <v>1.5188151360425263E-2</v>
      </c>
      <c r="BD328" s="179">
        <f t="shared" si="317"/>
        <v>1.8694350153487076E-2</v>
      </c>
      <c r="BE328" s="179">
        <f t="shared" si="317"/>
        <v>2.0619640489250347E-2</v>
      </c>
      <c r="BF328" s="179">
        <f t="shared" si="317"/>
        <v>2.1003758003352774E-2</v>
      </c>
      <c r="BG328" s="179">
        <f t="shared" si="317"/>
        <v>2.0878757710518187E-2</v>
      </c>
      <c r="BH328" s="179">
        <f t="shared" si="317"/>
        <v>2.0787245154551433E-2</v>
      </c>
    </row>
    <row r="329" spans="2:68" s="108" customFormat="1" x14ac:dyDescent="0.25">
      <c r="B329" s="107"/>
      <c r="E329" s="109" t="s">
        <v>1</v>
      </c>
      <c r="F329" s="110" t="s">
        <v>64</v>
      </c>
      <c r="G329" s="111" t="s">
        <v>55</v>
      </c>
      <c r="H329" s="70">
        <v>197108</v>
      </c>
      <c r="I329" s="70">
        <v>205475</v>
      </c>
      <c r="J329" s="70">
        <v>203159</v>
      </c>
      <c r="K329" s="70">
        <v>223908</v>
      </c>
      <c r="L329" s="70">
        <v>162272</v>
      </c>
      <c r="M329" s="70">
        <v>185166</v>
      </c>
      <c r="N329" s="70">
        <v>163720</v>
      </c>
      <c r="O329" s="112">
        <v>135086</v>
      </c>
      <c r="P329" s="112">
        <v>112821</v>
      </c>
      <c r="R329" s="111" t="s">
        <v>55</v>
      </c>
      <c r="S329" s="81">
        <v>5.9</v>
      </c>
      <c r="T329" s="81">
        <v>5.0999999999999996</v>
      </c>
      <c r="U329" s="81">
        <v>5.2</v>
      </c>
      <c r="V329" s="81">
        <v>5.5</v>
      </c>
      <c r="W329" s="81">
        <v>7</v>
      </c>
      <c r="X329" s="81">
        <v>7.7</v>
      </c>
      <c r="Y329" s="81">
        <v>7.8</v>
      </c>
      <c r="Z329" s="81">
        <v>9.1999999999999993</v>
      </c>
      <c r="AA329" s="81">
        <v>10.5</v>
      </c>
      <c r="AC329" s="111" t="s">
        <v>55</v>
      </c>
      <c r="AD329" s="70">
        <f t="shared" si="319"/>
        <v>23258.744000000002</v>
      </c>
      <c r="AE329" s="70">
        <f t="shared" si="315"/>
        <v>20958.449999999997</v>
      </c>
      <c r="AF329" s="70">
        <f t="shared" si="315"/>
        <v>21128.536</v>
      </c>
      <c r="AG329" s="70">
        <f t="shared" si="315"/>
        <v>24629.88</v>
      </c>
      <c r="AH329" s="70">
        <f t="shared" si="315"/>
        <v>22718.080000000002</v>
      </c>
      <c r="AI329" s="70">
        <f t="shared" si="315"/>
        <v>28515.563999999998</v>
      </c>
      <c r="AJ329" s="70">
        <f t="shared" si="315"/>
        <v>25540.32</v>
      </c>
      <c r="AK329" s="70">
        <f t="shared" si="315"/>
        <v>24855.824000000001</v>
      </c>
      <c r="AL329" s="70">
        <f t="shared" si="315"/>
        <v>23692.41</v>
      </c>
      <c r="AN329" s="111" t="s">
        <v>55</v>
      </c>
      <c r="AO329" s="113">
        <f t="shared" ref="AO329:AW329" si="325">H329/H327</f>
        <v>0.12551339965130215</v>
      </c>
      <c r="AP329" s="113">
        <f t="shared" si="325"/>
        <v>0.12789924670315922</v>
      </c>
      <c r="AQ329" s="113">
        <f t="shared" si="325"/>
        <v>0.12183316761798074</v>
      </c>
      <c r="AR329" s="113">
        <f t="shared" si="325"/>
        <v>0.13050989718122682</v>
      </c>
      <c r="AS329" s="113">
        <f t="shared" si="325"/>
        <v>9.1484497664572256E-2</v>
      </c>
      <c r="AT329" s="113">
        <f t="shared" si="325"/>
        <v>0.10038175925855651</v>
      </c>
      <c r="AU329" s="113">
        <f t="shared" si="325"/>
        <v>8.7295730549879921E-2</v>
      </c>
      <c r="AV329" s="113">
        <f t="shared" si="325"/>
        <v>7.529969709773475E-2</v>
      </c>
      <c r="AW329" s="113">
        <f t="shared" si="325"/>
        <v>6.0619688704914437E-2</v>
      </c>
      <c r="AY329" s="111" t="s">
        <v>55</v>
      </c>
      <c r="AZ329" s="179">
        <f t="shared" si="317"/>
        <v>1.4810581158853656E-2</v>
      </c>
      <c r="BA329" s="179">
        <f t="shared" si="317"/>
        <v>1.3045723163722241E-2</v>
      </c>
      <c r="BB329" s="179">
        <f t="shared" si="317"/>
        <v>1.2670649432269998E-2</v>
      </c>
      <c r="BC329" s="179">
        <f t="shared" si="317"/>
        <v>1.4356088689934952E-2</v>
      </c>
      <c r="BD329" s="179">
        <f t="shared" si="317"/>
        <v>1.2807829673040116E-2</v>
      </c>
      <c r="BE329" s="179">
        <f t="shared" si="317"/>
        <v>1.5458790925817702E-2</v>
      </c>
      <c r="BF329" s="179">
        <f t="shared" si="317"/>
        <v>1.3618133965781267E-2</v>
      </c>
      <c r="BG329" s="179">
        <f t="shared" si="317"/>
        <v>1.3855144265983192E-2</v>
      </c>
      <c r="BH329" s="179">
        <f t="shared" si="317"/>
        <v>1.2730134628032033E-2</v>
      </c>
    </row>
    <row r="330" spans="2:68" s="108" customFormat="1" x14ac:dyDescent="0.25">
      <c r="B330" s="107"/>
      <c r="E330" s="109" t="s">
        <v>1</v>
      </c>
      <c r="F330" s="110" t="s">
        <v>64</v>
      </c>
      <c r="G330" s="111" t="s">
        <v>130</v>
      </c>
      <c r="H330" s="70">
        <v>223521</v>
      </c>
      <c r="I330" s="70">
        <v>236870</v>
      </c>
      <c r="J330" s="70">
        <v>236136</v>
      </c>
      <c r="K330" s="70">
        <v>225350</v>
      </c>
      <c r="L330" s="70">
        <v>250061</v>
      </c>
      <c r="M330" s="70">
        <v>267806</v>
      </c>
      <c r="N330" s="70">
        <v>288330</v>
      </c>
      <c r="O330" s="112">
        <v>257213</v>
      </c>
      <c r="P330" s="112">
        <v>257511</v>
      </c>
      <c r="R330" s="111" t="s">
        <v>130</v>
      </c>
      <c r="S330" s="220">
        <v>5.0999999999999996</v>
      </c>
      <c r="T330" s="220">
        <v>5</v>
      </c>
      <c r="U330" s="220">
        <v>5.2</v>
      </c>
      <c r="V330" s="220">
        <v>5.5</v>
      </c>
      <c r="W330" s="220">
        <v>5.3</v>
      </c>
      <c r="X330" s="220">
        <v>5.9</v>
      </c>
      <c r="Y330" s="220">
        <v>5.7</v>
      </c>
      <c r="Z330" s="220">
        <v>7.1</v>
      </c>
      <c r="AA330" s="220">
        <v>6.5</v>
      </c>
      <c r="AC330" s="111" t="s">
        <v>130</v>
      </c>
      <c r="AD330" s="70">
        <f t="shared" si="319"/>
        <v>22799.141999999996</v>
      </c>
      <c r="AE330" s="70">
        <f t="shared" si="315"/>
        <v>23687</v>
      </c>
      <c r="AF330" s="70">
        <f t="shared" si="315"/>
        <v>24558.144</v>
      </c>
      <c r="AG330" s="70">
        <f t="shared" si="315"/>
        <v>24788.5</v>
      </c>
      <c r="AH330" s="70">
        <f t="shared" si="315"/>
        <v>26506.466</v>
      </c>
      <c r="AI330" s="70">
        <f t="shared" si="315"/>
        <v>31601.108000000004</v>
      </c>
      <c r="AJ330" s="70">
        <f t="shared" si="315"/>
        <v>32869.620000000003</v>
      </c>
      <c r="AK330" s="70">
        <f t="shared" si="315"/>
        <v>36524.245999999999</v>
      </c>
      <c r="AL330" s="70">
        <f t="shared" si="315"/>
        <v>33476.43</v>
      </c>
      <c r="AN330" s="111" t="s">
        <v>130</v>
      </c>
      <c r="AO330" s="113">
        <f t="shared" ref="AO330:AW330" si="326">H330/H327</f>
        <v>0.14233253142165059</v>
      </c>
      <c r="AP330" s="113">
        <f t="shared" si="326"/>
        <v>0.1474412681181522</v>
      </c>
      <c r="AQ330" s="113">
        <f t="shared" si="326"/>
        <v>0.14160926598693388</v>
      </c>
      <c r="AR330" s="113">
        <f t="shared" si="326"/>
        <v>0.13135039985078456</v>
      </c>
      <c r="AS330" s="113">
        <f t="shared" si="326"/>
        <v>0.1409775252076797</v>
      </c>
      <c r="AT330" s="113">
        <f t="shared" si="326"/>
        <v>0.14518236296078646</v>
      </c>
      <c r="AU330" s="113">
        <f t="shared" si="326"/>
        <v>0.15373795498074078</v>
      </c>
      <c r="AV330" s="113">
        <f t="shared" si="326"/>
        <v>0.14337578275764809</v>
      </c>
      <c r="AW330" s="113">
        <f t="shared" si="326"/>
        <v>0.13836286381162391</v>
      </c>
      <c r="AY330" s="111" t="s">
        <v>130</v>
      </c>
      <c r="AZ330" s="179">
        <f t="shared" si="317"/>
        <v>1.451791820500836E-2</v>
      </c>
      <c r="BA330" s="179">
        <f t="shared" si="317"/>
        <v>1.4744126811815219E-2</v>
      </c>
      <c r="BB330" s="179">
        <f t="shared" si="317"/>
        <v>1.4727363662641125E-2</v>
      </c>
      <c r="BC330" s="179">
        <f t="shared" si="317"/>
        <v>1.4448543983586302E-2</v>
      </c>
      <c r="BD330" s="179">
        <f t="shared" si="317"/>
        <v>1.4943617672014046E-2</v>
      </c>
      <c r="BE330" s="179">
        <f t="shared" si="317"/>
        <v>1.7131518829372801E-2</v>
      </c>
      <c r="BF330" s="179">
        <f t="shared" si="317"/>
        <v>1.7526126867804449E-2</v>
      </c>
      <c r="BG330" s="179">
        <f t="shared" si="317"/>
        <v>2.0359361151586028E-2</v>
      </c>
      <c r="BH330" s="179">
        <f t="shared" si="317"/>
        <v>1.7987172295511108E-2</v>
      </c>
    </row>
    <row r="331" spans="2:68" s="108" customFormat="1" x14ac:dyDescent="0.25">
      <c r="B331" s="107"/>
      <c r="E331" s="109" t="s">
        <v>1</v>
      </c>
      <c r="F331" s="110" t="s">
        <v>64</v>
      </c>
      <c r="G331" s="111" t="s">
        <v>131</v>
      </c>
      <c r="H331" s="112">
        <v>632497</v>
      </c>
      <c r="I331" s="112">
        <v>658384</v>
      </c>
      <c r="J331" s="112">
        <v>732468</v>
      </c>
      <c r="K331" s="112">
        <v>745160</v>
      </c>
      <c r="L331" s="112">
        <v>900886</v>
      </c>
      <c r="M331" s="112">
        <v>916204</v>
      </c>
      <c r="N331" s="112">
        <v>975780</v>
      </c>
      <c r="O331" s="112">
        <v>1034463</v>
      </c>
      <c r="P331" s="112">
        <v>1151430</v>
      </c>
      <c r="R331" s="111" t="s">
        <v>131</v>
      </c>
      <c r="S331" s="220">
        <v>2.6</v>
      </c>
      <c r="T331" s="220">
        <v>2.7</v>
      </c>
      <c r="U331" s="220">
        <v>2.2999999999999998</v>
      </c>
      <c r="V331" s="220">
        <v>3</v>
      </c>
      <c r="W331" s="220">
        <v>2</v>
      </c>
      <c r="X331" s="220">
        <v>2.4</v>
      </c>
      <c r="Y331" s="220">
        <v>2.2000000000000002</v>
      </c>
      <c r="Z331" s="220">
        <v>2.4</v>
      </c>
      <c r="AA331" s="220">
        <v>2.4</v>
      </c>
      <c r="AC331" s="111" t="s">
        <v>131</v>
      </c>
      <c r="AD331" s="112">
        <f t="shared" si="319"/>
        <v>32889.843999999997</v>
      </c>
      <c r="AE331" s="112">
        <f t="shared" si="315"/>
        <v>35552.736000000004</v>
      </c>
      <c r="AF331" s="112">
        <f t="shared" si="315"/>
        <v>33693.527999999998</v>
      </c>
      <c r="AG331" s="112">
        <f t="shared" si="315"/>
        <v>44709.599999999999</v>
      </c>
      <c r="AH331" s="112">
        <f t="shared" si="315"/>
        <v>36035.440000000002</v>
      </c>
      <c r="AI331" s="112">
        <f t="shared" si="315"/>
        <v>43977.792000000001</v>
      </c>
      <c r="AJ331" s="112">
        <f t="shared" si="315"/>
        <v>42934.32</v>
      </c>
      <c r="AK331" s="112">
        <f t="shared" si="315"/>
        <v>49654.223999999995</v>
      </c>
      <c r="AL331" s="112">
        <f t="shared" si="315"/>
        <v>55268.639999999999</v>
      </c>
      <c r="AN331" s="111" t="s">
        <v>131</v>
      </c>
      <c r="AO331" s="113">
        <f t="shared" ref="AO331:AW331" si="327">H331/H327</f>
        <v>0.4027581262011164</v>
      </c>
      <c r="AP331" s="113">
        <f t="shared" si="327"/>
        <v>0.40981539185503235</v>
      </c>
      <c r="AQ331" s="113">
        <f t="shared" si="327"/>
        <v>0.43925642781667124</v>
      </c>
      <c r="AR331" s="113">
        <f t="shared" si="327"/>
        <v>0.43433354316756428</v>
      </c>
      <c r="AS331" s="113">
        <f t="shared" si="327"/>
        <v>0.50789478876852345</v>
      </c>
      <c r="AT331" s="113">
        <f t="shared" si="327"/>
        <v>0.49669037166502766</v>
      </c>
      <c r="AU331" s="113">
        <f t="shared" si="327"/>
        <v>0.52028724624946143</v>
      </c>
      <c r="AV331" s="113">
        <f t="shared" si="327"/>
        <v>0.57663081710032116</v>
      </c>
      <c r="AW331" s="113">
        <f t="shared" si="327"/>
        <v>0.61867319174178237</v>
      </c>
      <c r="AY331" s="111" t="s">
        <v>131</v>
      </c>
      <c r="AZ331" s="179">
        <f t="shared" si="317"/>
        <v>2.0943422562458052E-2</v>
      </c>
      <c r="BA331" s="179">
        <f t="shared" si="317"/>
        <v>2.2130031160171749E-2</v>
      </c>
      <c r="BB331" s="179">
        <f t="shared" si="317"/>
        <v>2.0205795679566877E-2</v>
      </c>
      <c r="BC331" s="179">
        <f t="shared" si="317"/>
        <v>2.6060012590053857E-2</v>
      </c>
      <c r="BD331" s="179">
        <f t="shared" si="317"/>
        <v>2.0315791550740939E-2</v>
      </c>
      <c r="BE331" s="179">
        <f t="shared" si="317"/>
        <v>2.3841137839921325E-2</v>
      </c>
      <c r="BF331" s="179">
        <f t="shared" si="317"/>
        <v>2.2892638834976307E-2</v>
      </c>
      <c r="BG331" s="179">
        <f t="shared" si="317"/>
        <v>2.7678279220815415E-2</v>
      </c>
      <c r="BH331" s="179">
        <f t="shared" si="317"/>
        <v>2.9696313203605551E-2</v>
      </c>
    </row>
    <row r="332" spans="2:68" s="87" customFormat="1" x14ac:dyDescent="0.25">
      <c r="B332" s="84"/>
      <c r="C332" s="85"/>
      <c r="D332" s="85"/>
      <c r="E332" s="109" t="s">
        <v>2</v>
      </c>
      <c r="F332" s="110" t="s">
        <v>64</v>
      </c>
      <c r="G332" s="195" t="s">
        <v>7</v>
      </c>
      <c r="H332" s="69">
        <v>2931697</v>
      </c>
      <c r="I332" s="69">
        <v>2948824</v>
      </c>
      <c r="J332" s="69">
        <v>2874506</v>
      </c>
      <c r="K332" s="69">
        <v>2841008</v>
      </c>
      <c r="L332" s="69">
        <v>2740732</v>
      </c>
      <c r="M332" s="69">
        <v>2684184</v>
      </c>
      <c r="N332" s="69">
        <v>2678941</v>
      </c>
      <c r="O332" s="69">
        <v>2685430</v>
      </c>
      <c r="P332" s="69">
        <v>2826494</v>
      </c>
      <c r="R332" s="195" t="s">
        <v>7</v>
      </c>
      <c r="S332" s="226">
        <v>0.5</v>
      </c>
      <c r="T332" s="226">
        <v>0.5</v>
      </c>
      <c r="U332" s="226">
        <v>0.5</v>
      </c>
      <c r="V332" s="226">
        <v>0.6</v>
      </c>
      <c r="W332" s="226">
        <v>0.5</v>
      </c>
      <c r="X332" s="226">
        <v>0.6</v>
      </c>
      <c r="Y332" s="226">
        <v>0.6</v>
      </c>
      <c r="Z332" s="226">
        <v>0.7</v>
      </c>
      <c r="AA332" s="226">
        <v>0.8</v>
      </c>
      <c r="AC332" s="195" t="s">
        <v>7</v>
      </c>
      <c r="AD332" s="69">
        <f t="shared" si="319"/>
        <v>29316.97</v>
      </c>
      <c r="AE332" s="69">
        <f t="shared" si="315"/>
        <v>29488.240000000002</v>
      </c>
      <c r="AF332" s="69">
        <f t="shared" si="315"/>
        <v>28745.06</v>
      </c>
      <c r="AG332" s="69">
        <f t="shared" si="315"/>
        <v>34092.095999999998</v>
      </c>
      <c r="AH332" s="69">
        <f t="shared" si="315"/>
        <v>27407.32</v>
      </c>
      <c r="AI332" s="69">
        <f t="shared" si="315"/>
        <v>32210.207999999999</v>
      </c>
      <c r="AJ332" s="69">
        <f t="shared" si="315"/>
        <v>32147.291999999998</v>
      </c>
      <c r="AK332" s="69">
        <f t="shared" si="315"/>
        <v>37596.019999999997</v>
      </c>
      <c r="AL332" s="69">
        <f t="shared" si="315"/>
        <v>45223.904000000002</v>
      </c>
      <c r="AN332" s="195" t="s">
        <v>7</v>
      </c>
      <c r="AO332" s="98">
        <f t="shared" ref="AO332:AW332" si="328">H332/H332</f>
        <v>1</v>
      </c>
      <c r="AP332" s="98">
        <f t="shared" si="328"/>
        <v>1</v>
      </c>
      <c r="AQ332" s="98">
        <f t="shared" si="328"/>
        <v>1</v>
      </c>
      <c r="AR332" s="98">
        <f t="shared" si="328"/>
        <v>1</v>
      </c>
      <c r="AS332" s="98">
        <f t="shared" si="328"/>
        <v>1</v>
      </c>
      <c r="AT332" s="98">
        <f t="shared" si="328"/>
        <v>1</v>
      </c>
      <c r="AU332" s="98">
        <f t="shared" si="328"/>
        <v>1</v>
      </c>
      <c r="AV332" s="98">
        <f t="shared" si="328"/>
        <v>1</v>
      </c>
      <c r="AW332" s="98">
        <f t="shared" si="328"/>
        <v>1</v>
      </c>
      <c r="AX332" s="191"/>
      <c r="AY332" s="195" t="s">
        <v>7</v>
      </c>
      <c r="AZ332" s="178">
        <f t="shared" si="317"/>
        <v>0.01</v>
      </c>
      <c r="BA332" s="178">
        <f t="shared" si="317"/>
        <v>0.01</v>
      </c>
      <c r="BB332" s="178">
        <f t="shared" si="317"/>
        <v>0.01</v>
      </c>
      <c r="BC332" s="178">
        <f t="shared" si="317"/>
        <v>1.2E-2</v>
      </c>
      <c r="BD332" s="178">
        <f t="shared" si="317"/>
        <v>0.01</v>
      </c>
      <c r="BE332" s="178">
        <f t="shared" si="317"/>
        <v>1.2E-2</v>
      </c>
      <c r="BF332" s="178">
        <f t="shared" si="317"/>
        <v>1.2E-2</v>
      </c>
      <c r="BG332" s="178">
        <f t="shared" si="317"/>
        <v>1.3999999999999999E-2</v>
      </c>
      <c r="BH332" s="178">
        <f t="shared" si="317"/>
        <v>1.6E-2</v>
      </c>
      <c r="BI332" s="191"/>
      <c r="BJ332" s="191"/>
      <c r="BK332" s="191"/>
      <c r="BL332" s="191"/>
      <c r="BM332" s="191"/>
      <c r="BN332" s="191"/>
      <c r="BO332" s="191"/>
      <c r="BP332" s="191"/>
    </row>
    <row r="333" spans="2:68" s="108" customFormat="1" x14ac:dyDescent="0.25">
      <c r="B333" s="107"/>
      <c r="E333" s="109" t="s">
        <v>2</v>
      </c>
      <c r="F333" s="110" t="s">
        <v>64</v>
      </c>
      <c r="G333" s="111" t="s">
        <v>54</v>
      </c>
      <c r="H333" s="112">
        <v>881704</v>
      </c>
      <c r="I333" s="112">
        <v>806576</v>
      </c>
      <c r="J333" s="112">
        <v>736576</v>
      </c>
      <c r="K333" s="112">
        <v>688343</v>
      </c>
      <c r="L333" s="112">
        <v>594658</v>
      </c>
      <c r="M333" s="112">
        <v>646183</v>
      </c>
      <c r="N333" s="112">
        <v>558001</v>
      </c>
      <c r="O333" s="112">
        <v>540226</v>
      </c>
      <c r="P333" s="112">
        <v>499983</v>
      </c>
      <c r="R333" s="111" t="s">
        <v>54</v>
      </c>
      <c r="S333" s="220">
        <v>2.2999999999999998</v>
      </c>
      <c r="T333" s="220">
        <v>2.4</v>
      </c>
      <c r="U333" s="220">
        <v>3.1</v>
      </c>
      <c r="V333" s="220">
        <v>2.7</v>
      </c>
      <c r="W333" s="220">
        <v>3.5</v>
      </c>
      <c r="X333" s="220">
        <v>3.1</v>
      </c>
      <c r="Y333" s="220">
        <v>3.2</v>
      </c>
      <c r="Z333" s="220">
        <v>4.2</v>
      </c>
      <c r="AA333" s="220">
        <v>4.7</v>
      </c>
      <c r="AC333" s="111" t="s">
        <v>54</v>
      </c>
      <c r="AD333" s="112">
        <f t="shared" si="319"/>
        <v>40558.383999999998</v>
      </c>
      <c r="AE333" s="112">
        <f t="shared" si="315"/>
        <v>38715.648000000001</v>
      </c>
      <c r="AF333" s="112">
        <f t="shared" si="315"/>
        <v>45667.712</v>
      </c>
      <c r="AG333" s="112">
        <f t="shared" si="315"/>
        <v>37170.522000000004</v>
      </c>
      <c r="AH333" s="112">
        <f t="shared" si="315"/>
        <v>41626.06</v>
      </c>
      <c r="AI333" s="112">
        <f t="shared" si="315"/>
        <v>40063.345999999998</v>
      </c>
      <c r="AJ333" s="112">
        <f t="shared" si="315"/>
        <v>35712.064000000006</v>
      </c>
      <c r="AK333" s="112">
        <f t="shared" si="315"/>
        <v>45378.984000000004</v>
      </c>
      <c r="AL333" s="112">
        <f t="shared" si="315"/>
        <v>46998.402000000002</v>
      </c>
      <c r="AN333" s="111" t="s">
        <v>54</v>
      </c>
      <c r="AO333" s="113">
        <f t="shared" ref="AO333:AW333" si="329">H333/H332</f>
        <v>0.30074867900741448</v>
      </c>
      <c r="AP333" s="113">
        <f t="shared" si="329"/>
        <v>0.27352463219235873</v>
      </c>
      <c r="AQ333" s="113">
        <f t="shared" si="329"/>
        <v>0.25624437729474214</v>
      </c>
      <c r="AR333" s="113">
        <f t="shared" si="329"/>
        <v>0.24228830049053013</v>
      </c>
      <c r="AS333" s="113">
        <f t="shared" si="329"/>
        <v>0.21697050277079263</v>
      </c>
      <c r="AT333" s="113">
        <f t="shared" si="329"/>
        <v>0.24073722218745064</v>
      </c>
      <c r="AU333" s="113">
        <f t="shared" si="329"/>
        <v>0.2082916346421963</v>
      </c>
      <c r="AV333" s="113">
        <f t="shared" si="329"/>
        <v>0.20116927270492993</v>
      </c>
      <c r="AW333" s="113">
        <f t="shared" si="329"/>
        <v>0.17689158370758967</v>
      </c>
      <c r="AY333" s="111" t="s">
        <v>54</v>
      </c>
      <c r="AZ333" s="179">
        <f t="shared" si="317"/>
        <v>1.3834439234341064E-2</v>
      </c>
      <c r="BA333" s="179">
        <f t="shared" si="317"/>
        <v>1.3129182345233218E-2</v>
      </c>
      <c r="BB333" s="179">
        <f t="shared" si="317"/>
        <v>1.5887151392274014E-2</v>
      </c>
      <c r="BC333" s="179">
        <f t="shared" si="317"/>
        <v>1.3083568226488628E-2</v>
      </c>
      <c r="BD333" s="179">
        <f t="shared" si="317"/>
        <v>1.5187935193955483E-2</v>
      </c>
      <c r="BE333" s="179">
        <f t="shared" si="317"/>
        <v>1.492570777562194E-2</v>
      </c>
      <c r="BF333" s="179">
        <f t="shared" si="317"/>
        <v>1.3330664617100564E-2</v>
      </c>
      <c r="BG333" s="179">
        <f t="shared" si="317"/>
        <v>1.6898218907214116E-2</v>
      </c>
      <c r="BH333" s="179">
        <f t="shared" si="317"/>
        <v>1.6627808868513429E-2</v>
      </c>
    </row>
    <row r="334" spans="2:68" s="108" customFormat="1" x14ac:dyDescent="0.25">
      <c r="B334" s="107"/>
      <c r="E334" s="109" t="s">
        <v>2</v>
      </c>
      <c r="F334" s="110" t="s">
        <v>64</v>
      </c>
      <c r="G334" s="111" t="s">
        <v>55</v>
      </c>
      <c r="H334" s="70">
        <v>596977</v>
      </c>
      <c r="I334" s="70">
        <v>597128</v>
      </c>
      <c r="J334" s="70">
        <v>584735</v>
      </c>
      <c r="K334" s="70">
        <v>573036</v>
      </c>
      <c r="L334" s="70">
        <v>506353</v>
      </c>
      <c r="M334" s="70">
        <v>504213</v>
      </c>
      <c r="N334" s="70">
        <v>558417</v>
      </c>
      <c r="O334" s="112">
        <v>484761</v>
      </c>
      <c r="P334" s="112">
        <v>558846</v>
      </c>
      <c r="R334" s="111" t="s">
        <v>55</v>
      </c>
      <c r="S334" s="81">
        <v>3</v>
      </c>
      <c r="T334" s="81">
        <v>3.1</v>
      </c>
      <c r="U334" s="81">
        <v>3.1</v>
      </c>
      <c r="V334" s="81">
        <v>3.6</v>
      </c>
      <c r="W334" s="81">
        <v>3.6</v>
      </c>
      <c r="X334" s="81">
        <v>4.0999999999999996</v>
      </c>
      <c r="Y334" s="81">
        <v>3.9</v>
      </c>
      <c r="Z334" s="81">
        <v>4.5999999999999996</v>
      </c>
      <c r="AA334" s="81">
        <v>4.4000000000000004</v>
      </c>
      <c r="AC334" s="111" t="s">
        <v>55</v>
      </c>
      <c r="AD334" s="70">
        <f t="shared" si="319"/>
        <v>35818.620000000003</v>
      </c>
      <c r="AE334" s="70">
        <f t="shared" si="315"/>
        <v>37021.936000000002</v>
      </c>
      <c r="AF334" s="70">
        <f t="shared" si="315"/>
        <v>36253.57</v>
      </c>
      <c r="AG334" s="70">
        <f t="shared" si="315"/>
        <v>41258.592000000004</v>
      </c>
      <c r="AH334" s="70">
        <f t="shared" si="315"/>
        <v>36457.415999999997</v>
      </c>
      <c r="AI334" s="70">
        <f t="shared" si="315"/>
        <v>41345.465999999993</v>
      </c>
      <c r="AJ334" s="70">
        <f t="shared" si="315"/>
        <v>43556.525999999998</v>
      </c>
      <c r="AK334" s="70">
        <f t="shared" si="315"/>
        <v>44598.011999999995</v>
      </c>
      <c r="AL334" s="70">
        <f t="shared" si="315"/>
        <v>49178.448000000004</v>
      </c>
      <c r="AN334" s="111" t="s">
        <v>55</v>
      </c>
      <c r="AO334" s="113">
        <f t="shared" ref="AO334:AW334" si="330">H334/H332</f>
        <v>0.20362847865928846</v>
      </c>
      <c r="AP334" s="113">
        <f t="shared" si="330"/>
        <v>0.20249699541240848</v>
      </c>
      <c r="AQ334" s="113">
        <f t="shared" si="330"/>
        <v>0.20342103999782921</v>
      </c>
      <c r="AR334" s="113">
        <f t="shared" si="330"/>
        <v>0.20170164955536907</v>
      </c>
      <c r="AS334" s="113">
        <f t="shared" si="330"/>
        <v>0.18475100812483672</v>
      </c>
      <c r="AT334" s="113">
        <f t="shared" si="330"/>
        <v>0.18784591518316182</v>
      </c>
      <c r="AU334" s="113">
        <f t="shared" si="330"/>
        <v>0.20844691988364059</v>
      </c>
      <c r="AV334" s="113">
        <f t="shared" si="330"/>
        <v>0.18051522474985385</v>
      </c>
      <c r="AW334" s="113">
        <f t="shared" si="330"/>
        <v>0.19771703035633545</v>
      </c>
      <c r="AY334" s="111" t="s">
        <v>55</v>
      </c>
      <c r="AZ334" s="179">
        <f t="shared" si="317"/>
        <v>1.2217708719557307E-2</v>
      </c>
      <c r="BA334" s="179">
        <f t="shared" si="317"/>
        <v>1.2554813715569326E-2</v>
      </c>
      <c r="BB334" s="179">
        <f t="shared" si="317"/>
        <v>1.2612104479865412E-2</v>
      </c>
      <c r="BC334" s="179">
        <f t="shared" si="317"/>
        <v>1.4522518767986574E-2</v>
      </c>
      <c r="BD334" s="179">
        <f t="shared" si="317"/>
        <v>1.3302072584988245E-2</v>
      </c>
      <c r="BE334" s="179">
        <f t="shared" si="317"/>
        <v>1.5403365045019268E-2</v>
      </c>
      <c r="BF334" s="179">
        <f t="shared" si="317"/>
        <v>1.6258859750923966E-2</v>
      </c>
      <c r="BG334" s="179">
        <f t="shared" si="317"/>
        <v>1.6607400676986551E-2</v>
      </c>
      <c r="BH334" s="179">
        <f t="shared" si="317"/>
        <v>1.739909867135752E-2</v>
      </c>
    </row>
    <row r="335" spans="2:68" s="108" customFormat="1" x14ac:dyDescent="0.25">
      <c r="B335" s="107"/>
      <c r="E335" s="109" t="s">
        <v>2</v>
      </c>
      <c r="F335" s="110" t="s">
        <v>64</v>
      </c>
      <c r="G335" s="111" t="s">
        <v>130</v>
      </c>
      <c r="H335" s="70">
        <v>379641</v>
      </c>
      <c r="I335" s="70">
        <v>444352</v>
      </c>
      <c r="J335" s="70">
        <v>435556</v>
      </c>
      <c r="K335" s="70">
        <v>375066</v>
      </c>
      <c r="L335" s="70">
        <v>372741</v>
      </c>
      <c r="M335" s="70">
        <v>342770</v>
      </c>
      <c r="N335" s="70">
        <v>353911</v>
      </c>
      <c r="O335" s="112">
        <v>391206</v>
      </c>
      <c r="P335" s="112">
        <v>403671</v>
      </c>
      <c r="R335" s="111" t="s">
        <v>130</v>
      </c>
      <c r="S335" s="220">
        <v>3.9</v>
      </c>
      <c r="T335" s="220">
        <v>3.5</v>
      </c>
      <c r="U335" s="220">
        <v>3.6</v>
      </c>
      <c r="V335" s="220">
        <v>4.2</v>
      </c>
      <c r="W335" s="220">
        <v>4.5</v>
      </c>
      <c r="X335" s="220">
        <v>5.4</v>
      </c>
      <c r="Y335" s="220">
        <v>5</v>
      </c>
      <c r="Z335" s="220">
        <v>5.4</v>
      </c>
      <c r="AA335" s="220">
        <v>5.0999999999999996</v>
      </c>
      <c r="AC335" s="111" t="s">
        <v>130</v>
      </c>
      <c r="AD335" s="70">
        <f t="shared" si="319"/>
        <v>29611.998</v>
      </c>
      <c r="AE335" s="70">
        <f t="shared" si="315"/>
        <v>31104.639999999999</v>
      </c>
      <c r="AF335" s="70">
        <f t="shared" si="315"/>
        <v>31360.032000000003</v>
      </c>
      <c r="AG335" s="70">
        <f t="shared" si="315"/>
        <v>31505.543999999998</v>
      </c>
      <c r="AH335" s="70">
        <f t="shared" si="315"/>
        <v>33546.69</v>
      </c>
      <c r="AI335" s="70">
        <f t="shared" si="315"/>
        <v>37019.160000000003</v>
      </c>
      <c r="AJ335" s="70">
        <f t="shared" si="315"/>
        <v>35391.1</v>
      </c>
      <c r="AK335" s="70">
        <f t="shared" si="315"/>
        <v>42250.248</v>
      </c>
      <c r="AL335" s="70">
        <f t="shared" si="315"/>
        <v>41174.441999999995</v>
      </c>
      <c r="AN335" s="111" t="s">
        <v>130</v>
      </c>
      <c r="AO335" s="113">
        <f t="shared" ref="AO335:AW335" si="331">H335/H332</f>
        <v>0.12949530596101849</v>
      </c>
      <c r="AP335" s="113">
        <f t="shared" si="331"/>
        <v>0.15068786743461121</v>
      </c>
      <c r="AQ335" s="113">
        <f t="shared" si="331"/>
        <v>0.15152377486775118</v>
      </c>
      <c r="AR335" s="113">
        <f t="shared" si="331"/>
        <v>0.13201863563918159</v>
      </c>
      <c r="AS335" s="113">
        <f t="shared" si="331"/>
        <v>0.13600052832600926</v>
      </c>
      <c r="AT335" s="113">
        <f t="shared" si="331"/>
        <v>0.12769988942635827</v>
      </c>
      <c r="AU335" s="113">
        <f t="shared" si="331"/>
        <v>0.13210854587689688</v>
      </c>
      <c r="AV335" s="113">
        <f t="shared" si="331"/>
        <v>0.14567722860026142</v>
      </c>
      <c r="AW335" s="113">
        <f t="shared" si="331"/>
        <v>0.14281686074691827</v>
      </c>
      <c r="AY335" s="111" t="s">
        <v>130</v>
      </c>
      <c r="AZ335" s="179">
        <f t="shared" si="317"/>
        <v>1.0100633864959442E-2</v>
      </c>
      <c r="BA335" s="179">
        <f t="shared" si="317"/>
        <v>1.0548150720422785E-2</v>
      </c>
      <c r="BB335" s="179">
        <f t="shared" si="317"/>
        <v>1.0909711790478085E-2</v>
      </c>
      <c r="BC335" s="179">
        <f t="shared" si="317"/>
        <v>1.1089565393691254E-2</v>
      </c>
      <c r="BD335" s="179">
        <f t="shared" si="317"/>
        <v>1.2240047549340834E-2</v>
      </c>
      <c r="BE335" s="179">
        <f t="shared" si="317"/>
        <v>1.3791588058046693E-2</v>
      </c>
      <c r="BF335" s="179">
        <f t="shared" si="317"/>
        <v>1.321085458768969E-2</v>
      </c>
      <c r="BG335" s="179">
        <f t="shared" si="317"/>
        <v>1.5733140688828234E-2</v>
      </c>
      <c r="BH335" s="179">
        <f t="shared" si="317"/>
        <v>1.4567319796185663E-2</v>
      </c>
    </row>
    <row r="336" spans="2:68" s="108" customFormat="1" x14ac:dyDescent="0.25">
      <c r="B336" s="107"/>
      <c r="E336" s="109" t="s">
        <v>2</v>
      </c>
      <c r="F336" s="110" t="s">
        <v>64</v>
      </c>
      <c r="G336" s="111" t="s">
        <v>131</v>
      </c>
      <c r="H336" s="112">
        <v>1072519</v>
      </c>
      <c r="I336" s="112">
        <v>1100213</v>
      </c>
      <c r="J336" s="112">
        <v>1117639</v>
      </c>
      <c r="K336" s="112">
        <v>1204251</v>
      </c>
      <c r="L336" s="112">
        <v>1266980</v>
      </c>
      <c r="M336" s="112">
        <v>1191019</v>
      </c>
      <c r="N336" s="112">
        <v>1208612</v>
      </c>
      <c r="O336" s="112">
        <v>1269237</v>
      </c>
      <c r="P336" s="112">
        <v>1363994</v>
      </c>
      <c r="R336" s="111" t="s">
        <v>131</v>
      </c>
      <c r="S336" s="220">
        <v>1.9</v>
      </c>
      <c r="T336" s="220">
        <v>2</v>
      </c>
      <c r="U336" s="220">
        <v>2</v>
      </c>
      <c r="V336" s="220">
        <v>1.6</v>
      </c>
      <c r="W336" s="220">
        <v>2.2000000000000002</v>
      </c>
      <c r="X336" s="220">
        <v>2</v>
      </c>
      <c r="Y336" s="220">
        <v>1.6</v>
      </c>
      <c r="Z336" s="220">
        <v>2.6</v>
      </c>
      <c r="AA336" s="220">
        <v>2.4</v>
      </c>
      <c r="AC336" s="111" t="s">
        <v>131</v>
      </c>
      <c r="AD336" s="112">
        <f t="shared" si="319"/>
        <v>40755.721999999994</v>
      </c>
      <c r="AE336" s="112">
        <f t="shared" si="315"/>
        <v>44008.52</v>
      </c>
      <c r="AF336" s="112">
        <f t="shared" si="315"/>
        <v>44705.56</v>
      </c>
      <c r="AG336" s="112">
        <f t="shared" si="315"/>
        <v>38536.031999999999</v>
      </c>
      <c r="AH336" s="112">
        <f t="shared" si="315"/>
        <v>55747.12</v>
      </c>
      <c r="AI336" s="112">
        <f t="shared" si="315"/>
        <v>47640.76</v>
      </c>
      <c r="AJ336" s="112">
        <f t="shared" si="315"/>
        <v>38675.584000000003</v>
      </c>
      <c r="AK336" s="112">
        <f t="shared" si="315"/>
        <v>66000.324000000008</v>
      </c>
      <c r="AL336" s="112">
        <f t="shared" si="315"/>
        <v>65471.712</v>
      </c>
      <c r="AN336" s="111" t="s">
        <v>131</v>
      </c>
      <c r="AO336" s="113">
        <f t="shared" ref="AO336:AW336" si="332">H336/H332</f>
        <v>0.36583555531147999</v>
      </c>
      <c r="AP336" s="113">
        <f t="shared" si="332"/>
        <v>0.37310229433835318</v>
      </c>
      <c r="AQ336" s="113">
        <f t="shared" si="332"/>
        <v>0.38881080783967747</v>
      </c>
      <c r="AR336" s="113">
        <f t="shared" si="332"/>
        <v>0.42388159413841847</v>
      </c>
      <c r="AS336" s="113">
        <f t="shared" si="332"/>
        <v>0.46227796077836142</v>
      </c>
      <c r="AT336" s="113">
        <f t="shared" si="332"/>
        <v>0.44371734575573063</v>
      </c>
      <c r="AU336" s="113">
        <f t="shared" si="332"/>
        <v>0.45115289959726623</v>
      </c>
      <c r="AV336" s="113">
        <f t="shared" si="332"/>
        <v>0.47263827394495483</v>
      </c>
      <c r="AW336" s="113">
        <f t="shared" si="332"/>
        <v>0.48257452518915661</v>
      </c>
      <c r="AY336" s="111" t="s">
        <v>131</v>
      </c>
      <c r="AZ336" s="179">
        <f t="shared" si="317"/>
        <v>1.3901751101836239E-2</v>
      </c>
      <c r="BA336" s="179">
        <f t="shared" si="317"/>
        <v>1.4924091773534128E-2</v>
      </c>
      <c r="BB336" s="179">
        <f t="shared" si="317"/>
        <v>1.5552432313587099E-2</v>
      </c>
      <c r="BC336" s="179">
        <f t="shared" si="317"/>
        <v>1.3564211012429392E-2</v>
      </c>
      <c r="BD336" s="179">
        <f t="shared" si="317"/>
        <v>2.0340230274247903E-2</v>
      </c>
      <c r="BE336" s="179">
        <f t="shared" si="317"/>
        <v>1.7748693830229225E-2</v>
      </c>
      <c r="BF336" s="179">
        <f t="shared" si="317"/>
        <v>1.4436892787112521E-2</v>
      </c>
      <c r="BG336" s="179">
        <f t="shared" si="317"/>
        <v>2.4577190245137652E-2</v>
      </c>
      <c r="BH336" s="179">
        <f t="shared" si="317"/>
        <v>2.3163577209079515E-2</v>
      </c>
    </row>
    <row r="337" spans="2:68" s="87" customFormat="1" x14ac:dyDescent="0.25">
      <c r="B337" s="84"/>
      <c r="C337" s="85"/>
      <c r="D337" s="85"/>
      <c r="E337" s="109" t="s">
        <v>3</v>
      </c>
      <c r="F337" s="110" t="s">
        <v>64</v>
      </c>
      <c r="G337" s="195" t="s">
        <v>7</v>
      </c>
      <c r="H337" s="69">
        <v>2718260</v>
      </c>
      <c r="I337" s="69">
        <v>2916979</v>
      </c>
      <c r="J337" s="69">
        <v>3105683</v>
      </c>
      <c r="K337" s="69">
        <v>3373438</v>
      </c>
      <c r="L337" s="69">
        <v>3578675</v>
      </c>
      <c r="M337" s="69">
        <v>3694437</v>
      </c>
      <c r="N337" s="69">
        <v>3761975</v>
      </c>
      <c r="O337" s="69">
        <v>3951582</v>
      </c>
      <c r="P337" s="69">
        <v>3922826</v>
      </c>
      <c r="R337" s="195" t="s">
        <v>7</v>
      </c>
      <c r="S337" s="226">
        <v>0.5</v>
      </c>
      <c r="T337" s="226">
        <v>0.5</v>
      </c>
      <c r="U337" s="226">
        <v>0.4</v>
      </c>
      <c r="V337" s="226">
        <v>0.5</v>
      </c>
      <c r="W337" s="226">
        <v>0.4</v>
      </c>
      <c r="X337" s="226">
        <v>0.5</v>
      </c>
      <c r="Y337" s="226">
        <v>0.5</v>
      </c>
      <c r="Z337" s="226">
        <v>0.6</v>
      </c>
      <c r="AA337" s="226">
        <v>0.8</v>
      </c>
      <c r="AC337" s="195" t="s">
        <v>7</v>
      </c>
      <c r="AD337" s="69">
        <f t="shared" si="319"/>
        <v>27182.6</v>
      </c>
      <c r="AE337" s="69">
        <f t="shared" si="315"/>
        <v>29169.79</v>
      </c>
      <c r="AF337" s="69">
        <f t="shared" si="315"/>
        <v>24845.464</v>
      </c>
      <c r="AG337" s="69">
        <f t="shared" si="315"/>
        <v>33734.379999999997</v>
      </c>
      <c r="AH337" s="69">
        <f t="shared" si="315"/>
        <v>28629.4</v>
      </c>
      <c r="AI337" s="69">
        <f t="shared" si="315"/>
        <v>36944.370000000003</v>
      </c>
      <c r="AJ337" s="69">
        <f t="shared" si="315"/>
        <v>37619.75</v>
      </c>
      <c r="AK337" s="69">
        <f t="shared" si="315"/>
        <v>47418.983999999997</v>
      </c>
      <c r="AL337" s="69">
        <f t="shared" si="315"/>
        <v>62765.216000000008</v>
      </c>
      <c r="AN337" s="195" t="s">
        <v>7</v>
      </c>
      <c r="AO337" s="98">
        <f t="shared" ref="AO337:AW337" si="333">H337/H337</f>
        <v>1</v>
      </c>
      <c r="AP337" s="98">
        <f t="shared" si="333"/>
        <v>1</v>
      </c>
      <c r="AQ337" s="98">
        <f t="shared" si="333"/>
        <v>1</v>
      </c>
      <c r="AR337" s="98">
        <f t="shared" si="333"/>
        <v>1</v>
      </c>
      <c r="AS337" s="98">
        <f t="shared" si="333"/>
        <v>1</v>
      </c>
      <c r="AT337" s="98">
        <f t="shared" si="333"/>
        <v>1</v>
      </c>
      <c r="AU337" s="98">
        <f t="shared" si="333"/>
        <v>1</v>
      </c>
      <c r="AV337" s="98">
        <f t="shared" si="333"/>
        <v>1</v>
      </c>
      <c r="AW337" s="98">
        <f t="shared" si="333"/>
        <v>1</v>
      </c>
      <c r="AX337" s="191"/>
      <c r="AY337" s="195" t="s">
        <v>7</v>
      </c>
      <c r="AZ337" s="178">
        <f t="shared" si="317"/>
        <v>0.01</v>
      </c>
      <c r="BA337" s="178">
        <f t="shared" si="317"/>
        <v>0.01</v>
      </c>
      <c r="BB337" s="178">
        <f t="shared" si="317"/>
        <v>8.0000000000000002E-3</v>
      </c>
      <c r="BC337" s="178">
        <f t="shared" si="317"/>
        <v>0.01</v>
      </c>
      <c r="BD337" s="178">
        <f t="shared" si="317"/>
        <v>8.0000000000000002E-3</v>
      </c>
      <c r="BE337" s="178">
        <f t="shared" si="317"/>
        <v>0.01</v>
      </c>
      <c r="BF337" s="178">
        <f t="shared" si="317"/>
        <v>0.01</v>
      </c>
      <c r="BG337" s="178">
        <f t="shared" si="317"/>
        <v>1.2E-2</v>
      </c>
      <c r="BH337" s="178">
        <f t="shared" si="317"/>
        <v>1.6E-2</v>
      </c>
      <c r="BI337" s="191"/>
      <c r="BJ337" s="191"/>
      <c r="BK337" s="191"/>
      <c r="BL337" s="191"/>
      <c r="BM337" s="191"/>
      <c r="BN337" s="191"/>
      <c r="BO337" s="191"/>
      <c r="BP337" s="191"/>
    </row>
    <row r="338" spans="2:68" s="108" customFormat="1" x14ac:dyDescent="0.25">
      <c r="B338" s="107"/>
      <c r="E338" s="109" t="s">
        <v>3</v>
      </c>
      <c r="F338" s="110" t="s">
        <v>64</v>
      </c>
      <c r="G338" s="111" t="s">
        <v>54</v>
      </c>
      <c r="H338" s="112">
        <v>649407</v>
      </c>
      <c r="I338" s="112">
        <v>640807</v>
      </c>
      <c r="J338" s="112">
        <v>671998</v>
      </c>
      <c r="K338" s="112">
        <v>724174</v>
      </c>
      <c r="L338" s="112">
        <v>776609</v>
      </c>
      <c r="M338" s="112">
        <v>792268</v>
      </c>
      <c r="N338" s="112">
        <v>778441</v>
      </c>
      <c r="O338" s="112">
        <v>804568</v>
      </c>
      <c r="P338" s="112">
        <v>731090</v>
      </c>
      <c r="R338" s="111" t="s">
        <v>54</v>
      </c>
      <c r="S338" s="220">
        <v>3</v>
      </c>
      <c r="T338" s="220">
        <v>3.1</v>
      </c>
      <c r="U338" s="220">
        <v>3.2</v>
      </c>
      <c r="V338" s="220">
        <v>2.7</v>
      </c>
      <c r="W338" s="220">
        <v>2.5</v>
      </c>
      <c r="X338" s="220">
        <v>2.8</v>
      </c>
      <c r="Y338" s="220">
        <v>2.2999999999999998</v>
      </c>
      <c r="Z338" s="220">
        <v>3.5</v>
      </c>
      <c r="AA338" s="220">
        <v>4.4000000000000004</v>
      </c>
      <c r="AC338" s="111" t="s">
        <v>54</v>
      </c>
      <c r="AD338" s="112">
        <f t="shared" si="319"/>
        <v>38964.42</v>
      </c>
      <c r="AE338" s="112">
        <f t="shared" si="315"/>
        <v>39730.034</v>
      </c>
      <c r="AF338" s="112">
        <f t="shared" si="315"/>
        <v>43007.872000000003</v>
      </c>
      <c r="AG338" s="112">
        <f t="shared" si="315"/>
        <v>39105.396000000001</v>
      </c>
      <c r="AH338" s="112">
        <f t="shared" si="315"/>
        <v>38830.449999999997</v>
      </c>
      <c r="AI338" s="112">
        <f t="shared" si="315"/>
        <v>44367.008000000002</v>
      </c>
      <c r="AJ338" s="112">
        <f t="shared" si="315"/>
        <v>35808.285999999993</v>
      </c>
      <c r="AK338" s="112">
        <f t="shared" si="315"/>
        <v>56319.76</v>
      </c>
      <c r="AL338" s="112">
        <f t="shared" si="315"/>
        <v>64335.920000000013</v>
      </c>
      <c r="AN338" s="111" t="s">
        <v>54</v>
      </c>
      <c r="AO338" s="113">
        <f t="shared" ref="AO338:AW338" si="334">H338/H337</f>
        <v>0.2389054027208582</v>
      </c>
      <c r="AP338" s="113">
        <f t="shared" si="334"/>
        <v>0.21968173236763103</v>
      </c>
      <c r="AQ338" s="113">
        <f t="shared" si="334"/>
        <v>0.21637688070546801</v>
      </c>
      <c r="AR338" s="113">
        <f t="shared" si="334"/>
        <v>0.21466942626483723</v>
      </c>
      <c r="AS338" s="113">
        <f t="shared" si="334"/>
        <v>0.21701020629143467</v>
      </c>
      <c r="AT338" s="113">
        <f t="shared" si="334"/>
        <v>0.21444891332562985</v>
      </c>
      <c r="AU338" s="113">
        <f t="shared" si="334"/>
        <v>0.20692349098545312</v>
      </c>
      <c r="AV338" s="113">
        <f t="shared" si="334"/>
        <v>0.20360655555167526</v>
      </c>
      <c r="AW338" s="113">
        <f t="shared" si="334"/>
        <v>0.18636819476571226</v>
      </c>
      <c r="AY338" s="111" t="s">
        <v>54</v>
      </c>
      <c r="AZ338" s="179">
        <f t="shared" si="317"/>
        <v>1.4334324163251493E-2</v>
      </c>
      <c r="BA338" s="179">
        <f t="shared" si="317"/>
        <v>1.3620267406793125E-2</v>
      </c>
      <c r="BB338" s="179">
        <f t="shared" si="317"/>
        <v>1.3848120365149954E-2</v>
      </c>
      <c r="BC338" s="179">
        <f t="shared" si="317"/>
        <v>1.1592149018301212E-2</v>
      </c>
      <c r="BD338" s="179">
        <f t="shared" si="317"/>
        <v>1.0850510314571732E-2</v>
      </c>
      <c r="BE338" s="179">
        <f t="shared" si="317"/>
        <v>1.2009139146235271E-2</v>
      </c>
      <c r="BF338" s="179">
        <f t="shared" si="317"/>
        <v>9.5184805853308421E-3</v>
      </c>
      <c r="BG338" s="179">
        <f t="shared" si="317"/>
        <v>1.4252458888617267E-2</v>
      </c>
      <c r="BH338" s="179">
        <f t="shared" si="317"/>
        <v>1.6400401139382681E-2</v>
      </c>
    </row>
    <row r="339" spans="2:68" s="108" customFormat="1" x14ac:dyDescent="0.25">
      <c r="B339" s="107"/>
      <c r="E339" s="109" t="s">
        <v>3</v>
      </c>
      <c r="F339" s="110" t="s">
        <v>64</v>
      </c>
      <c r="G339" s="111" t="s">
        <v>55</v>
      </c>
      <c r="H339" s="70">
        <v>882099</v>
      </c>
      <c r="I339" s="70">
        <v>986942</v>
      </c>
      <c r="J339" s="112">
        <v>1091337</v>
      </c>
      <c r="K339" s="112">
        <v>1083058</v>
      </c>
      <c r="L339" s="112">
        <v>1090902</v>
      </c>
      <c r="M339" s="112">
        <v>1116421</v>
      </c>
      <c r="N339" s="112">
        <v>1038841</v>
      </c>
      <c r="O339" s="112">
        <v>1118845</v>
      </c>
      <c r="P339" s="112">
        <v>1066095</v>
      </c>
      <c r="R339" s="111" t="s">
        <v>55</v>
      </c>
      <c r="S339" s="81">
        <v>2.6</v>
      </c>
      <c r="T339" s="81">
        <v>2.2999999999999998</v>
      </c>
      <c r="U339" s="81">
        <v>2</v>
      </c>
      <c r="V339" s="81">
        <v>2.2000000000000002</v>
      </c>
      <c r="W339" s="81">
        <v>1.9</v>
      </c>
      <c r="X339" s="81">
        <v>2.6</v>
      </c>
      <c r="Y339" s="81">
        <v>2.7</v>
      </c>
      <c r="Z339" s="81">
        <v>3.1</v>
      </c>
      <c r="AA339" s="81">
        <v>3</v>
      </c>
      <c r="AC339" s="111" t="s">
        <v>55</v>
      </c>
      <c r="AD339" s="70">
        <f t="shared" si="319"/>
        <v>45869.148000000001</v>
      </c>
      <c r="AE339" s="70">
        <f t="shared" si="315"/>
        <v>45399.331999999995</v>
      </c>
      <c r="AF339" s="70">
        <f t="shared" si="315"/>
        <v>43653.48</v>
      </c>
      <c r="AG339" s="70">
        <f t="shared" si="315"/>
        <v>47654.552000000003</v>
      </c>
      <c r="AH339" s="70">
        <f t="shared" si="315"/>
        <v>41454.275999999998</v>
      </c>
      <c r="AI339" s="70">
        <f t="shared" si="315"/>
        <v>58053.892</v>
      </c>
      <c r="AJ339" s="70">
        <f t="shared" si="315"/>
        <v>56097.414000000004</v>
      </c>
      <c r="AK339" s="70">
        <f t="shared" si="315"/>
        <v>69368.39</v>
      </c>
      <c r="AL339" s="70">
        <f t="shared" si="315"/>
        <v>63965.7</v>
      </c>
      <c r="AN339" s="111" t="s">
        <v>55</v>
      </c>
      <c r="AO339" s="113">
        <f t="shared" ref="AO339:AW339" si="335">H339/H337</f>
        <v>0.32450869306100227</v>
      </c>
      <c r="AP339" s="113">
        <f t="shared" si="335"/>
        <v>0.33834388248938368</v>
      </c>
      <c r="AQ339" s="113">
        <f t="shared" si="335"/>
        <v>0.35139999800365973</v>
      </c>
      <c r="AR339" s="113">
        <f t="shared" si="335"/>
        <v>0.32105466292844276</v>
      </c>
      <c r="AS339" s="113">
        <f t="shared" si="335"/>
        <v>0.30483405170908229</v>
      </c>
      <c r="AT339" s="113">
        <f t="shared" si="335"/>
        <v>0.30218975178085322</v>
      </c>
      <c r="AU339" s="113">
        <f t="shared" si="335"/>
        <v>0.27614245177067898</v>
      </c>
      <c r="AV339" s="113">
        <f t="shared" si="335"/>
        <v>0.28313849997292223</v>
      </c>
      <c r="AW339" s="113">
        <f t="shared" si="335"/>
        <v>0.27176708831847246</v>
      </c>
      <c r="AY339" s="111" t="s">
        <v>55</v>
      </c>
      <c r="AZ339" s="179">
        <f t="shared" si="317"/>
        <v>1.6874452039172119E-2</v>
      </c>
      <c r="BA339" s="179">
        <f t="shared" si="317"/>
        <v>1.5563818594511648E-2</v>
      </c>
      <c r="BB339" s="179">
        <f t="shared" si="317"/>
        <v>1.4055999920146389E-2</v>
      </c>
      <c r="BC339" s="179">
        <f t="shared" si="317"/>
        <v>1.4126405168851483E-2</v>
      </c>
      <c r="BD339" s="179">
        <f t="shared" si="317"/>
        <v>1.1583693964945125E-2</v>
      </c>
      <c r="BE339" s="179">
        <f t="shared" si="317"/>
        <v>1.5713867092604368E-2</v>
      </c>
      <c r="BF339" s="179">
        <f t="shared" si="317"/>
        <v>1.4911692395616665E-2</v>
      </c>
      <c r="BG339" s="179">
        <f t="shared" si="317"/>
        <v>1.7554586998321176E-2</v>
      </c>
      <c r="BH339" s="179">
        <f t="shared" si="317"/>
        <v>1.6306025299108347E-2</v>
      </c>
    </row>
    <row r="340" spans="2:68" s="108" customFormat="1" x14ac:dyDescent="0.25">
      <c r="B340" s="107"/>
      <c r="E340" s="109" t="s">
        <v>3</v>
      </c>
      <c r="F340" s="110" t="s">
        <v>64</v>
      </c>
      <c r="G340" s="111" t="s">
        <v>130</v>
      </c>
      <c r="H340" s="70">
        <v>305576</v>
      </c>
      <c r="I340" s="70">
        <v>367444</v>
      </c>
      <c r="J340" s="70">
        <v>351032</v>
      </c>
      <c r="K340" s="70">
        <v>351541</v>
      </c>
      <c r="L340" s="70">
        <v>444910</v>
      </c>
      <c r="M340" s="70">
        <v>423268</v>
      </c>
      <c r="N340" s="70">
        <v>475555</v>
      </c>
      <c r="O340" s="112">
        <v>514142</v>
      </c>
      <c r="P340" s="112">
        <v>515018</v>
      </c>
      <c r="R340" s="111" t="s">
        <v>130</v>
      </c>
      <c r="S340" s="220">
        <v>4.2</v>
      </c>
      <c r="T340" s="220">
        <v>3.9</v>
      </c>
      <c r="U340" s="220">
        <v>3.9</v>
      </c>
      <c r="V340" s="220">
        <v>4.2</v>
      </c>
      <c r="W340" s="220">
        <v>4.2</v>
      </c>
      <c r="X340" s="220">
        <v>4.7</v>
      </c>
      <c r="Y340" s="220">
        <v>4.4000000000000004</v>
      </c>
      <c r="Z340" s="220">
        <v>4.4000000000000004</v>
      </c>
      <c r="AA340" s="220">
        <v>4.4000000000000004</v>
      </c>
      <c r="AC340" s="111" t="s">
        <v>130</v>
      </c>
      <c r="AD340" s="70">
        <f t="shared" si="319"/>
        <v>25668.383999999998</v>
      </c>
      <c r="AE340" s="70">
        <f t="shared" si="315"/>
        <v>28660.631999999998</v>
      </c>
      <c r="AF340" s="70">
        <f t="shared" si="315"/>
        <v>27380.495999999999</v>
      </c>
      <c r="AG340" s="70">
        <f t="shared" si="315"/>
        <v>29529.444</v>
      </c>
      <c r="AH340" s="70">
        <f t="shared" si="315"/>
        <v>37372.44</v>
      </c>
      <c r="AI340" s="70">
        <f t="shared" si="315"/>
        <v>39787.192000000003</v>
      </c>
      <c r="AJ340" s="70">
        <f t="shared" si="315"/>
        <v>41848.840000000004</v>
      </c>
      <c r="AK340" s="70">
        <f t="shared" si="315"/>
        <v>45244.496000000006</v>
      </c>
      <c r="AL340" s="70">
        <f t="shared" si="315"/>
        <v>45321.584000000003</v>
      </c>
      <c r="AN340" s="111" t="s">
        <v>130</v>
      </c>
      <c r="AO340" s="113">
        <f t="shared" ref="AO340:AW340" si="336">H340/H337</f>
        <v>0.11241603084326003</v>
      </c>
      <c r="AP340" s="113">
        <f t="shared" si="336"/>
        <v>0.12596731070055697</v>
      </c>
      <c r="AQ340" s="113">
        <f t="shared" si="336"/>
        <v>0.11302892149649529</v>
      </c>
      <c r="AR340" s="113">
        <f t="shared" si="336"/>
        <v>0.10420852554574887</v>
      </c>
      <c r="AS340" s="113">
        <f t="shared" si="336"/>
        <v>0.1243225495469692</v>
      </c>
      <c r="AT340" s="113">
        <f t="shared" si="336"/>
        <v>0.11456901281575514</v>
      </c>
      <c r="AU340" s="113">
        <f t="shared" si="336"/>
        <v>0.12641099422510782</v>
      </c>
      <c r="AV340" s="113">
        <f t="shared" si="336"/>
        <v>0.13011042159823585</v>
      </c>
      <c r="AW340" s="113">
        <f t="shared" si="336"/>
        <v>0.13128749529038505</v>
      </c>
      <c r="AY340" s="111" t="s">
        <v>130</v>
      </c>
      <c r="AZ340" s="179">
        <f t="shared" si="317"/>
        <v>9.4429465908338426E-3</v>
      </c>
      <c r="BA340" s="179">
        <f t="shared" si="317"/>
        <v>9.825450234643443E-3</v>
      </c>
      <c r="BB340" s="179">
        <f t="shared" si="317"/>
        <v>8.8162558767266325E-3</v>
      </c>
      <c r="BC340" s="179">
        <f t="shared" si="317"/>
        <v>8.7535161458429048E-3</v>
      </c>
      <c r="BD340" s="179">
        <f t="shared" si="317"/>
        <v>1.0443094161945412E-2</v>
      </c>
      <c r="BE340" s="179">
        <f t="shared" si="317"/>
        <v>1.0769487204680983E-2</v>
      </c>
      <c r="BF340" s="179">
        <f t="shared" si="317"/>
        <v>1.112416749180949E-2</v>
      </c>
      <c r="BG340" s="179">
        <f t="shared" si="317"/>
        <v>1.1449717100644756E-2</v>
      </c>
      <c r="BH340" s="179">
        <f t="shared" si="317"/>
        <v>1.1553299585553886E-2</v>
      </c>
    </row>
    <row r="341" spans="2:68" s="108" customFormat="1" x14ac:dyDescent="0.25">
      <c r="B341" s="107"/>
      <c r="E341" s="109" t="s">
        <v>3</v>
      </c>
      <c r="F341" s="110" t="s">
        <v>64</v>
      </c>
      <c r="G341" s="111" t="s">
        <v>131</v>
      </c>
      <c r="H341" s="112">
        <v>880105</v>
      </c>
      <c r="I341" s="112">
        <v>921702</v>
      </c>
      <c r="J341" s="112">
        <v>990131</v>
      </c>
      <c r="K341" s="112">
        <v>1212450</v>
      </c>
      <c r="L341" s="112">
        <v>1266254</v>
      </c>
      <c r="M341" s="112">
        <v>1362480</v>
      </c>
      <c r="N341" s="112">
        <v>1469138</v>
      </c>
      <c r="O341" s="112">
        <v>1514027</v>
      </c>
      <c r="P341" s="112">
        <v>1610623</v>
      </c>
      <c r="R341" s="111" t="s">
        <v>131</v>
      </c>
      <c r="S341" s="220">
        <v>2</v>
      </c>
      <c r="T341" s="220">
        <v>2.2999999999999998</v>
      </c>
      <c r="U341" s="220">
        <v>2</v>
      </c>
      <c r="V341" s="220">
        <v>2.1</v>
      </c>
      <c r="W341" s="220">
        <v>1.8</v>
      </c>
      <c r="X341" s="220">
        <v>1.8</v>
      </c>
      <c r="Y341" s="220">
        <v>1.8</v>
      </c>
      <c r="Z341" s="220">
        <v>2.2999999999999998</v>
      </c>
      <c r="AA341" s="220">
        <v>2</v>
      </c>
      <c r="AC341" s="111" t="s">
        <v>131</v>
      </c>
      <c r="AD341" s="112">
        <f t="shared" si="319"/>
        <v>35204.199999999997</v>
      </c>
      <c r="AE341" s="112">
        <f t="shared" si="315"/>
        <v>42398.291999999994</v>
      </c>
      <c r="AF341" s="112">
        <f t="shared" si="315"/>
        <v>39605.24</v>
      </c>
      <c r="AG341" s="112">
        <f t="shared" si="315"/>
        <v>50922.9</v>
      </c>
      <c r="AH341" s="112">
        <f t="shared" si="315"/>
        <v>45585.144</v>
      </c>
      <c r="AI341" s="112">
        <f t="shared" si="315"/>
        <v>49049.279999999999</v>
      </c>
      <c r="AJ341" s="112">
        <f t="shared" si="315"/>
        <v>52888.968000000001</v>
      </c>
      <c r="AK341" s="112">
        <f t="shared" si="315"/>
        <v>69645.241999999998</v>
      </c>
      <c r="AL341" s="112">
        <f t="shared" si="315"/>
        <v>64424.92</v>
      </c>
      <c r="AN341" s="111" t="s">
        <v>131</v>
      </c>
      <c r="AO341" s="113">
        <f t="shared" ref="AO341:AW341" si="337">H341/H337</f>
        <v>0.3237751355646627</v>
      </c>
      <c r="AP341" s="113">
        <f t="shared" si="337"/>
        <v>0.31597827752616664</v>
      </c>
      <c r="AQ341" s="113">
        <f t="shared" si="337"/>
        <v>0.31881264121289904</v>
      </c>
      <c r="AR341" s="113">
        <f t="shared" si="337"/>
        <v>0.35941078508038388</v>
      </c>
      <c r="AS341" s="113">
        <f t="shared" si="337"/>
        <v>0.35383319245251382</v>
      </c>
      <c r="AT341" s="113">
        <f t="shared" si="337"/>
        <v>0.3687923220777618</v>
      </c>
      <c r="AU341" s="113">
        <f t="shared" si="337"/>
        <v>0.39052306301876011</v>
      </c>
      <c r="AV341" s="113">
        <f t="shared" si="337"/>
        <v>0.38314452287716666</v>
      </c>
      <c r="AW341" s="113">
        <f t="shared" si="337"/>
        <v>0.41057722162543026</v>
      </c>
      <c r="AY341" s="111" t="s">
        <v>131</v>
      </c>
      <c r="AZ341" s="179">
        <f t="shared" si="317"/>
        <v>1.2951005422586507E-2</v>
      </c>
      <c r="BA341" s="179">
        <f t="shared" si="317"/>
        <v>1.4535000766203666E-2</v>
      </c>
      <c r="BB341" s="179">
        <f t="shared" si="317"/>
        <v>1.2752505648515962E-2</v>
      </c>
      <c r="BC341" s="179">
        <f t="shared" si="317"/>
        <v>1.5095252973376123E-2</v>
      </c>
      <c r="BD341" s="179">
        <f t="shared" si="317"/>
        <v>1.2737994928290497E-2</v>
      </c>
      <c r="BE341" s="179">
        <f t="shared" si="317"/>
        <v>1.3276523594799425E-2</v>
      </c>
      <c r="BF341" s="179">
        <f t="shared" si="317"/>
        <v>1.4058830268675365E-2</v>
      </c>
      <c r="BG341" s="179">
        <f t="shared" si="317"/>
        <v>1.7624648052349666E-2</v>
      </c>
      <c r="BH341" s="179">
        <f t="shared" si="317"/>
        <v>1.642308886501721E-2</v>
      </c>
    </row>
    <row r="342" spans="2:68" s="87" customFormat="1" x14ac:dyDescent="0.25">
      <c r="B342" s="84"/>
      <c r="C342" s="85"/>
      <c r="D342" s="85"/>
      <c r="E342" s="109" t="s">
        <v>45</v>
      </c>
      <c r="F342" s="110" t="s">
        <v>64</v>
      </c>
      <c r="G342" s="195" t="s">
        <v>7</v>
      </c>
      <c r="H342" s="69">
        <v>1399693</v>
      </c>
      <c r="I342" s="69">
        <v>1444687</v>
      </c>
      <c r="J342" s="69">
        <v>1492935</v>
      </c>
      <c r="K342" s="69">
        <v>1589704</v>
      </c>
      <c r="L342" s="69">
        <v>1695207</v>
      </c>
      <c r="M342" s="69">
        <v>1799164</v>
      </c>
      <c r="N342" s="69">
        <v>1959763</v>
      </c>
      <c r="O342" s="69">
        <v>2134599</v>
      </c>
      <c r="P342" s="69">
        <v>2288958</v>
      </c>
      <c r="R342" s="195" t="s">
        <v>7</v>
      </c>
      <c r="S342" s="226">
        <v>0.6</v>
      </c>
      <c r="T342" s="226">
        <v>0.8</v>
      </c>
      <c r="U342" s="226">
        <v>0.6</v>
      </c>
      <c r="V342" s="226">
        <v>0.6</v>
      </c>
      <c r="W342" s="226">
        <v>0.6</v>
      </c>
      <c r="X342" s="226">
        <v>0.7</v>
      </c>
      <c r="Y342" s="226">
        <v>0.7</v>
      </c>
      <c r="Z342" s="226">
        <v>0.7</v>
      </c>
      <c r="AA342" s="226">
        <v>0.8</v>
      </c>
      <c r="AC342" s="195" t="s">
        <v>7</v>
      </c>
      <c r="AD342" s="69">
        <f t="shared" si="319"/>
        <v>16796.315999999999</v>
      </c>
      <c r="AE342" s="69">
        <f t="shared" si="315"/>
        <v>23114.992000000002</v>
      </c>
      <c r="AF342" s="69">
        <f t="shared" si="315"/>
        <v>17915.22</v>
      </c>
      <c r="AG342" s="69">
        <f t="shared" si="315"/>
        <v>19076.447999999997</v>
      </c>
      <c r="AH342" s="69">
        <f t="shared" si="315"/>
        <v>20342.484</v>
      </c>
      <c r="AI342" s="69">
        <f t="shared" si="315"/>
        <v>25188.295999999995</v>
      </c>
      <c r="AJ342" s="69">
        <f t="shared" si="315"/>
        <v>27436.681999999997</v>
      </c>
      <c r="AK342" s="69">
        <f t="shared" si="315"/>
        <v>29884.385999999995</v>
      </c>
      <c r="AL342" s="69">
        <f t="shared" si="315"/>
        <v>36623.328000000001</v>
      </c>
      <c r="AN342" s="195" t="s">
        <v>7</v>
      </c>
      <c r="AO342" s="98">
        <f t="shared" ref="AO342:AW342" si="338">H342/H342</f>
        <v>1</v>
      </c>
      <c r="AP342" s="98">
        <f t="shared" si="338"/>
        <v>1</v>
      </c>
      <c r="AQ342" s="98">
        <f t="shared" si="338"/>
        <v>1</v>
      </c>
      <c r="AR342" s="98">
        <f t="shared" si="338"/>
        <v>1</v>
      </c>
      <c r="AS342" s="98">
        <f t="shared" si="338"/>
        <v>1</v>
      </c>
      <c r="AT342" s="98">
        <f t="shared" si="338"/>
        <v>1</v>
      </c>
      <c r="AU342" s="98">
        <f t="shared" si="338"/>
        <v>1</v>
      </c>
      <c r="AV342" s="98">
        <f t="shared" si="338"/>
        <v>1</v>
      </c>
      <c r="AW342" s="98">
        <f t="shared" si="338"/>
        <v>1</v>
      </c>
      <c r="AX342" s="191"/>
      <c r="AY342" s="195" t="s">
        <v>7</v>
      </c>
      <c r="AZ342" s="178">
        <f t="shared" si="317"/>
        <v>1.2E-2</v>
      </c>
      <c r="BA342" s="178">
        <f t="shared" si="317"/>
        <v>1.6E-2</v>
      </c>
      <c r="BB342" s="178">
        <f t="shared" si="317"/>
        <v>1.2E-2</v>
      </c>
      <c r="BC342" s="178">
        <f t="shared" si="317"/>
        <v>1.2E-2</v>
      </c>
      <c r="BD342" s="178">
        <f t="shared" si="317"/>
        <v>1.2E-2</v>
      </c>
      <c r="BE342" s="178">
        <f t="shared" si="317"/>
        <v>1.3999999999999999E-2</v>
      </c>
      <c r="BF342" s="178">
        <f t="shared" si="317"/>
        <v>1.3999999999999999E-2</v>
      </c>
      <c r="BG342" s="178">
        <f t="shared" si="317"/>
        <v>1.3999999999999999E-2</v>
      </c>
      <c r="BH342" s="178">
        <f t="shared" si="317"/>
        <v>1.6E-2</v>
      </c>
      <c r="BI342" s="191"/>
      <c r="BJ342" s="191"/>
      <c r="BK342" s="191"/>
      <c r="BL342" s="191"/>
      <c r="BM342" s="191"/>
      <c r="BN342" s="191"/>
      <c r="BO342" s="191"/>
      <c r="BP342" s="191"/>
    </row>
    <row r="343" spans="2:68" s="108" customFormat="1" x14ac:dyDescent="0.25">
      <c r="B343" s="107"/>
      <c r="E343" s="109" t="s">
        <v>45</v>
      </c>
      <c r="F343" s="110" t="s">
        <v>64</v>
      </c>
      <c r="G343" s="111" t="s">
        <v>54</v>
      </c>
      <c r="H343" s="112">
        <v>163616</v>
      </c>
      <c r="I343" s="112">
        <v>141682</v>
      </c>
      <c r="J343" s="112">
        <v>141159</v>
      </c>
      <c r="K343" s="112">
        <v>147354</v>
      </c>
      <c r="L343" s="112">
        <v>157756</v>
      </c>
      <c r="M343" s="112">
        <v>174681</v>
      </c>
      <c r="N343" s="112">
        <v>177662</v>
      </c>
      <c r="O343" s="112">
        <v>186572</v>
      </c>
      <c r="P343" s="112">
        <v>212317</v>
      </c>
      <c r="R343" s="111" t="s">
        <v>54</v>
      </c>
      <c r="S343" s="220">
        <v>5.9</v>
      </c>
      <c r="T343" s="220">
        <v>6.5</v>
      </c>
      <c r="U343" s="220">
        <v>6.7</v>
      </c>
      <c r="V343" s="220">
        <v>7.1</v>
      </c>
      <c r="W343" s="220">
        <v>6.8</v>
      </c>
      <c r="X343" s="220">
        <v>6.6</v>
      </c>
      <c r="Y343" s="220">
        <v>7.8</v>
      </c>
      <c r="Z343" s="220">
        <v>8.4</v>
      </c>
      <c r="AA343" s="220">
        <v>7.4</v>
      </c>
      <c r="AC343" s="111" t="s">
        <v>54</v>
      </c>
      <c r="AD343" s="112">
        <f t="shared" si="319"/>
        <v>19306.688000000002</v>
      </c>
      <c r="AE343" s="112">
        <f t="shared" si="315"/>
        <v>18418.66</v>
      </c>
      <c r="AF343" s="112">
        <f t="shared" si="315"/>
        <v>18915.306</v>
      </c>
      <c r="AG343" s="112">
        <f t="shared" si="315"/>
        <v>20924.267999999996</v>
      </c>
      <c r="AH343" s="112">
        <f t="shared" si="315"/>
        <v>21454.816000000003</v>
      </c>
      <c r="AI343" s="112">
        <f t="shared" si="315"/>
        <v>23057.891999999996</v>
      </c>
      <c r="AJ343" s="112">
        <f t="shared" si="315"/>
        <v>27715.271999999997</v>
      </c>
      <c r="AK343" s="112">
        <f t="shared" si="315"/>
        <v>31344.096000000001</v>
      </c>
      <c r="AL343" s="112">
        <f t="shared" si="315"/>
        <v>31422.916000000001</v>
      </c>
      <c r="AN343" s="111" t="s">
        <v>54</v>
      </c>
      <c r="AO343" s="113">
        <f t="shared" ref="AO343:AW343" si="339">H343/H342</f>
        <v>0.11689420465773566</v>
      </c>
      <c r="AP343" s="113">
        <f t="shared" si="339"/>
        <v>9.8071070065695889E-2</v>
      </c>
      <c r="AQ343" s="113">
        <f t="shared" si="339"/>
        <v>9.4551336796310628E-2</v>
      </c>
      <c r="AR343" s="113">
        <f t="shared" si="339"/>
        <v>9.2692727702767305E-2</v>
      </c>
      <c r="AS343" s="113">
        <f t="shared" si="339"/>
        <v>9.3060021578485697E-2</v>
      </c>
      <c r="AT343" s="113">
        <f t="shared" si="339"/>
        <v>9.7090092954283211E-2</v>
      </c>
      <c r="AU343" s="113">
        <f t="shared" si="339"/>
        <v>9.065483938619108E-2</v>
      </c>
      <c r="AV343" s="113">
        <f t="shared" si="339"/>
        <v>8.7403769982090318E-2</v>
      </c>
      <c r="AW343" s="113">
        <f t="shared" si="339"/>
        <v>9.2757053646244272E-2</v>
      </c>
      <c r="AY343" s="111" t="s">
        <v>54</v>
      </c>
      <c r="AZ343" s="179">
        <f t="shared" si="317"/>
        <v>1.3793516149612807E-2</v>
      </c>
      <c r="BA343" s="179">
        <f t="shared" si="317"/>
        <v>1.2749239108540467E-2</v>
      </c>
      <c r="BB343" s="179">
        <f t="shared" si="317"/>
        <v>1.2669879130705624E-2</v>
      </c>
      <c r="BC343" s="179">
        <f t="shared" si="317"/>
        <v>1.3162367333792956E-2</v>
      </c>
      <c r="BD343" s="179">
        <f t="shared" si="317"/>
        <v>1.2656162934674054E-2</v>
      </c>
      <c r="BE343" s="179">
        <f t="shared" si="317"/>
        <v>1.2815892269965384E-2</v>
      </c>
      <c r="BF343" s="179">
        <f t="shared" si="317"/>
        <v>1.4142154944245809E-2</v>
      </c>
      <c r="BG343" s="179">
        <f t="shared" si="317"/>
        <v>1.4683833356991173E-2</v>
      </c>
      <c r="BH343" s="179">
        <f t="shared" si="317"/>
        <v>1.3728043939644153E-2</v>
      </c>
    </row>
    <row r="344" spans="2:68" s="108" customFormat="1" x14ac:dyDescent="0.25">
      <c r="B344" s="107"/>
      <c r="E344" s="109" t="s">
        <v>45</v>
      </c>
      <c r="F344" s="110" t="s">
        <v>64</v>
      </c>
      <c r="G344" s="111" t="s">
        <v>55</v>
      </c>
      <c r="H344" s="70">
        <v>562001</v>
      </c>
      <c r="I344" s="70">
        <v>606874</v>
      </c>
      <c r="J344" s="70">
        <v>627497</v>
      </c>
      <c r="K344" s="70">
        <v>659943</v>
      </c>
      <c r="L344" s="70">
        <v>685654</v>
      </c>
      <c r="M344" s="70">
        <v>737063</v>
      </c>
      <c r="N344" s="70">
        <v>785349</v>
      </c>
      <c r="O344" s="112">
        <v>834212</v>
      </c>
      <c r="P344" s="112">
        <v>895916</v>
      </c>
      <c r="R344" s="111" t="s">
        <v>55</v>
      </c>
      <c r="S344" s="81">
        <v>2.6</v>
      </c>
      <c r="T344" s="81">
        <v>2.7</v>
      </c>
      <c r="U344" s="81">
        <v>2.7</v>
      </c>
      <c r="V344" s="81">
        <v>2.8</v>
      </c>
      <c r="W344" s="81">
        <v>3.1</v>
      </c>
      <c r="X344" s="81">
        <v>3.4</v>
      </c>
      <c r="Y344" s="81">
        <v>2.5</v>
      </c>
      <c r="Z344" s="81">
        <v>3.1</v>
      </c>
      <c r="AA344" s="81">
        <v>3.2</v>
      </c>
      <c r="AC344" s="111" t="s">
        <v>55</v>
      </c>
      <c r="AD344" s="70">
        <f t="shared" si="319"/>
        <v>29224.052000000003</v>
      </c>
      <c r="AE344" s="70">
        <f t="shared" si="315"/>
        <v>32771.196000000004</v>
      </c>
      <c r="AF344" s="70">
        <f t="shared" si="315"/>
        <v>33884.838000000003</v>
      </c>
      <c r="AG344" s="70">
        <f t="shared" si="315"/>
        <v>36956.807999999997</v>
      </c>
      <c r="AH344" s="70">
        <f t="shared" si="315"/>
        <v>42510.547999999995</v>
      </c>
      <c r="AI344" s="70">
        <f t="shared" si="315"/>
        <v>50120.283999999992</v>
      </c>
      <c r="AJ344" s="70">
        <f t="shared" si="315"/>
        <v>39267.449999999997</v>
      </c>
      <c r="AK344" s="70">
        <f t="shared" si="315"/>
        <v>51721.144</v>
      </c>
      <c r="AL344" s="70">
        <f t="shared" si="315"/>
        <v>57338.624000000003</v>
      </c>
      <c r="AN344" s="111" t="s">
        <v>55</v>
      </c>
      <c r="AO344" s="113">
        <f t="shared" ref="AO344:AW344" si="340">H344/H342</f>
        <v>0.40151733272939139</v>
      </c>
      <c r="AP344" s="113">
        <f t="shared" si="340"/>
        <v>0.4200729985110962</v>
      </c>
      <c r="AQ344" s="113">
        <f t="shared" si="340"/>
        <v>0.42031099813454703</v>
      </c>
      <c r="AR344" s="113">
        <f t="shared" si="340"/>
        <v>0.41513577370378385</v>
      </c>
      <c r="AS344" s="113">
        <f t="shared" si="340"/>
        <v>0.40446623922624197</v>
      </c>
      <c r="AT344" s="113">
        <f t="shared" si="340"/>
        <v>0.40966971326682838</v>
      </c>
      <c r="AU344" s="113">
        <f t="shared" si="340"/>
        <v>0.40073672173625074</v>
      </c>
      <c r="AV344" s="113">
        <f t="shared" si="340"/>
        <v>0.3908050177105864</v>
      </c>
      <c r="AW344" s="113">
        <f t="shared" si="340"/>
        <v>0.39140779341516968</v>
      </c>
      <c r="AY344" s="111" t="s">
        <v>55</v>
      </c>
      <c r="AZ344" s="179">
        <f t="shared" si="317"/>
        <v>2.0878901301928356E-2</v>
      </c>
      <c r="BA344" s="179">
        <f t="shared" si="317"/>
        <v>2.2683941919599198E-2</v>
      </c>
      <c r="BB344" s="179">
        <f t="shared" si="317"/>
        <v>2.269679389926554E-2</v>
      </c>
      <c r="BC344" s="179">
        <f t="shared" si="317"/>
        <v>2.3247603327411891E-2</v>
      </c>
      <c r="BD344" s="179">
        <f t="shared" si="317"/>
        <v>2.5076906832027002E-2</v>
      </c>
      <c r="BE344" s="179">
        <f t="shared" si="317"/>
        <v>2.785754050214433E-2</v>
      </c>
      <c r="BF344" s="179">
        <f t="shared" si="317"/>
        <v>2.0036836086812535E-2</v>
      </c>
      <c r="BG344" s="179">
        <f t="shared" si="317"/>
        <v>2.4229911098056358E-2</v>
      </c>
      <c r="BH344" s="179">
        <f t="shared" si="317"/>
        <v>2.505009877857086E-2</v>
      </c>
    </row>
    <row r="345" spans="2:68" s="108" customFormat="1" x14ac:dyDescent="0.25">
      <c r="B345" s="107"/>
      <c r="E345" s="109" t="s">
        <v>45</v>
      </c>
      <c r="F345" s="110" t="s">
        <v>64</v>
      </c>
      <c r="G345" s="111" t="s">
        <v>130</v>
      </c>
      <c r="H345" s="70">
        <v>143676</v>
      </c>
      <c r="I345" s="70">
        <v>162790</v>
      </c>
      <c r="J345" s="70">
        <v>156402</v>
      </c>
      <c r="K345" s="70">
        <v>147465</v>
      </c>
      <c r="L345" s="70">
        <v>172679</v>
      </c>
      <c r="M345" s="70">
        <v>185657</v>
      </c>
      <c r="N345" s="70">
        <v>207191</v>
      </c>
      <c r="O345" s="112">
        <v>224325</v>
      </c>
      <c r="P345" s="112">
        <v>255307</v>
      </c>
      <c r="R345" s="111" t="s">
        <v>130</v>
      </c>
      <c r="S345" s="220">
        <v>6.5</v>
      </c>
      <c r="T345" s="220">
        <v>5.9</v>
      </c>
      <c r="U345" s="220">
        <v>6</v>
      </c>
      <c r="V345" s="220">
        <v>7.1</v>
      </c>
      <c r="W345" s="220">
        <v>6.8</v>
      </c>
      <c r="X345" s="220">
        <v>7.7</v>
      </c>
      <c r="Y345" s="220">
        <v>6.6</v>
      </c>
      <c r="Z345" s="220">
        <v>7.1</v>
      </c>
      <c r="AA345" s="220">
        <v>6.5</v>
      </c>
      <c r="AC345" s="111" t="s">
        <v>130</v>
      </c>
      <c r="AD345" s="70">
        <f t="shared" si="319"/>
        <v>18677.88</v>
      </c>
      <c r="AE345" s="70">
        <f t="shared" si="315"/>
        <v>19209.22</v>
      </c>
      <c r="AF345" s="70">
        <f t="shared" si="315"/>
        <v>18768.240000000002</v>
      </c>
      <c r="AG345" s="70">
        <f t="shared" si="315"/>
        <v>20940.03</v>
      </c>
      <c r="AH345" s="70">
        <f t="shared" si="315"/>
        <v>23484.343999999997</v>
      </c>
      <c r="AI345" s="70">
        <f t="shared" si="315"/>
        <v>28591.178000000004</v>
      </c>
      <c r="AJ345" s="70">
        <f t="shared" si="315"/>
        <v>27349.211999999996</v>
      </c>
      <c r="AK345" s="70">
        <f t="shared" si="315"/>
        <v>31854.15</v>
      </c>
      <c r="AL345" s="70">
        <f t="shared" si="315"/>
        <v>33189.910000000003</v>
      </c>
      <c r="AN345" s="111" t="s">
        <v>130</v>
      </c>
      <c r="AO345" s="113">
        <f t="shared" ref="AO345:AW345" si="341">H345/H342</f>
        <v>0.10264822357474103</v>
      </c>
      <c r="AP345" s="113">
        <f t="shared" si="341"/>
        <v>0.11268184734824914</v>
      </c>
      <c r="AQ345" s="113">
        <f t="shared" si="341"/>
        <v>0.10476142631795758</v>
      </c>
      <c r="AR345" s="113">
        <f t="shared" si="341"/>
        <v>9.2762552022263259E-2</v>
      </c>
      <c r="AS345" s="113">
        <f t="shared" si="341"/>
        <v>0.10186307630867499</v>
      </c>
      <c r="AT345" s="113">
        <f t="shared" si="341"/>
        <v>0.10319070412702788</v>
      </c>
      <c r="AU345" s="113">
        <f t="shared" si="341"/>
        <v>0.10572247766694239</v>
      </c>
      <c r="AV345" s="113">
        <f t="shared" si="341"/>
        <v>0.10508999582591391</v>
      </c>
      <c r="AW345" s="113">
        <f t="shared" si="341"/>
        <v>0.1115385253901557</v>
      </c>
      <c r="AY345" s="111" t="s">
        <v>130</v>
      </c>
      <c r="AZ345" s="179">
        <f t="shared" si="317"/>
        <v>1.3344269064716334E-2</v>
      </c>
      <c r="BA345" s="179">
        <f t="shared" si="317"/>
        <v>1.3296457987093399E-2</v>
      </c>
      <c r="BB345" s="179">
        <f t="shared" si="317"/>
        <v>1.2571371158154909E-2</v>
      </c>
      <c r="BC345" s="179">
        <f t="shared" si="317"/>
        <v>1.3172282387161383E-2</v>
      </c>
      <c r="BD345" s="179">
        <f t="shared" si="317"/>
        <v>1.3853378377979796E-2</v>
      </c>
      <c r="BE345" s="179">
        <f t="shared" si="317"/>
        <v>1.5891368435562294E-2</v>
      </c>
      <c r="BF345" s="179">
        <f t="shared" si="317"/>
        <v>1.3955367052036394E-2</v>
      </c>
      <c r="BG345" s="179">
        <f t="shared" si="317"/>
        <v>1.4922779407279773E-2</v>
      </c>
      <c r="BH345" s="179">
        <f t="shared" si="317"/>
        <v>1.4500008300720242E-2</v>
      </c>
    </row>
    <row r="346" spans="2:68" s="108" customFormat="1" x14ac:dyDescent="0.25">
      <c r="B346" s="107"/>
      <c r="E346" s="109" t="s">
        <v>45</v>
      </c>
      <c r="F346" s="110" t="s">
        <v>64</v>
      </c>
      <c r="G346" s="111" t="s">
        <v>131</v>
      </c>
      <c r="H346" s="112">
        <v>529841</v>
      </c>
      <c r="I346" s="112">
        <v>532445</v>
      </c>
      <c r="J346" s="112">
        <v>566094</v>
      </c>
      <c r="K346" s="112">
        <v>631319</v>
      </c>
      <c r="L346" s="112">
        <v>679117</v>
      </c>
      <c r="M346" s="112">
        <v>701764</v>
      </c>
      <c r="N346" s="112">
        <v>789562</v>
      </c>
      <c r="O346" s="112">
        <v>889490</v>
      </c>
      <c r="P346" s="112">
        <v>925418</v>
      </c>
      <c r="R346" s="111" t="s">
        <v>131</v>
      </c>
      <c r="S346" s="220">
        <v>2.7</v>
      </c>
      <c r="T346" s="220">
        <v>2.8</v>
      </c>
      <c r="U346" s="220">
        <v>2.9</v>
      </c>
      <c r="V346" s="220">
        <v>2.9</v>
      </c>
      <c r="W346" s="220">
        <v>2.5</v>
      </c>
      <c r="X346" s="220">
        <v>2.1</v>
      </c>
      <c r="Y346" s="220">
        <v>2</v>
      </c>
      <c r="Z346" s="220">
        <v>3</v>
      </c>
      <c r="AA346" s="220">
        <v>3.2</v>
      </c>
      <c r="AC346" s="111" t="s">
        <v>131</v>
      </c>
      <c r="AD346" s="112">
        <f t="shared" si="319"/>
        <v>28611.414000000004</v>
      </c>
      <c r="AE346" s="112">
        <f t="shared" si="315"/>
        <v>29816.92</v>
      </c>
      <c r="AF346" s="112">
        <f t="shared" si="315"/>
        <v>32833.451999999997</v>
      </c>
      <c r="AG346" s="112">
        <f t="shared" si="315"/>
        <v>36616.502</v>
      </c>
      <c r="AH346" s="112">
        <f t="shared" si="315"/>
        <v>33955.85</v>
      </c>
      <c r="AI346" s="112">
        <f t="shared" si="315"/>
        <v>29474.088000000003</v>
      </c>
      <c r="AJ346" s="112">
        <f t="shared" si="315"/>
        <v>31582.48</v>
      </c>
      <c r="AK346" s="112">
        <f t="shared" si="315"/>
        <v>53369.4</v>
      </c>
      <c r="AL346" s="112">
        <f t="shared" si="315"/>
        <v>59226.752</v>
      </c>
      <c r="AN346" s="111" t="s">
        <v>131</v>
      </c>
      <c r="AO346" s="113">
        <f t="shared" ref="AO346:AW346" si="342">H346/H342</f>
        <v>0.37854086574698881</v>
      </c>
      <c r="AP346" s="113">
        <f t="shared" si="342"/>
        <v>0.36855388052913884</v>
      </c>
      <c r="AQ346" s="113">
        <f t="shared" si="342"/>
        <v>0.37918194697022978</v>
      </c>
      <c r="AR346" s="113">
        <f t="shared" si="342"/>
        <v>0.3971299059447545</v>
      </c>
      <c r="AS346" s="113">
        <f t="shared" si="342"/>
        <v>0.40061007298813656</v>
      </c>
      <c r="AT346" s="113">
        <f t="shared" si="342"/>
        <v>0.39005004546556066</v>
      </c>
      <c r="AU346" s="113">
        <f t="shared" si="342"/>
        <v>0.40288647147639789</v>
      </c>
      <c r="AV346" s="113">
        <f t="shared" si="342"/>
        <v>0.4167012164814094</v>
      </c>
      <c r="AW346" s="113">
        <f t="shared" si="342"/>
        <v>0.40429662754843032</v>
      </c>
      <c r="AY346" s="111" t="s">
        <v>131</v>
      </c>
      <c r="AZ346" s="179">
        <f t="shared" si="317"/>
        <v>2.0441206750337396E-2</v>
      </c>
      <c r="BA346" s="179">
        <f t="shared" si="317"/>
        <v>2.0639017309631774E-2</v>
      </c>
      <c r="BB346" s="179">
        <f t="shared" si="317"/>
        <v>2.1992552924273327E-2</v>
      </c>
      <c r="BC346" s="179">
        <f t="shared" si="317"/>
        <v>2.3033534544795762E-2</v>
      </c>
      <c r="BD346" s="179">
        <f t="shared" si="317"/>
        <v>2.0030503649406829E-2</v>
      </c>
      <c r="BE346" s="179">
        <f t="shared" si="317"/>
        <v>1.6382101909553547E-2</v>
      </c>
      <c r="BF346" s="179">
        <f t="shared" si="317"/>
        <v>1.6115458859055916E-2</v>
      </c>
      <c r="BG346" s="179">
        <f t="shared" si="317"/>
        <v>2.5002072988884561E-2</v>
      </c>
      <c r="BH346" s="179">
        <f t="shared" si="317"/>
        <v>2.5874984163099541E-2</v>
      </c>
    </row>
    <row r="347" spans="2:68" s="87" customFormat="1" x14ac:dyDescent="0.25">
      <c r="B347" s="84"/>
      <c r="C347" s="85"/>
      <c r="D347" s="85"/>
      <c r="E347" s="109" t="s">
        <v>46</v>
      </c>
      <c r="F347" s="110" t="s">
        <v>64</v>
      </c>
      <c r="G347" s="195" t="s">
        <v>7</v>
      </c>
      <c r="H347" s="69">
        <v>9877293</v>
      </c>
      <c r="I347" s="69">
        <v>10278738</v>
      </c>
      <c r="J347" s="69">
        <v>10570076</v>
      </c>
      <c r="K347" s="69">
        <v>10935120</v>
      </c>
      <c r="L347" s="69">
        <v>11207344</v>
      </c>
      <c r="M347" s="69">
        <v>11453381</v>
      </c>
      <c r="N347" s="69">
        <v>11682113</v>
      </c>
      <c r="O347" s="69">
        <v>11825183</v>
      </c>
      <c r="P347" s="69">
        <v>12173621</v>
      </c>
      <c r="R347" s="195" t="s">
        <v>7</v>
      </c>
      <c r="S347" s="226">
        <v>0.3</v>
      </c>
      <c r="T347" s="226">
        <v>0.3</v>
      </c>
      <c r="U347" s="226">
        <v>0.3</v>
      </c>
      <c r="V347" s="226">
        <v>0.3</v>
      </c>
      <c r="W347" s="226">
        <v>0.3</v>
      </c>
      <c r="X347" s="226">
        <v>0.3</v>
      </c>
      <c r="Y347" s="226">
        <v>0.3</v>
      </c>
      <c r="Z347" s="226">
        <v>0.3</v>
      </c>
      <c r="AA347" s="226">
        <v>0.4</v>
      </c>
      <c r="AC347" s="195" t="s">
        <v>7</v>
      </c>
      <c r="AD347" s="69">
        <f t="shared" si="319"/>
        <v>59263.758000000002</v>
      </c>
      <c r="AE347" s="69">
        <f t="shared" si="315"/>
        <v>61672.428</v>
      </c>
      <c r="AF347" s="69">
        <f t="shared" si="315"/>
        <v>63420.455999999998</v>
      </c>
      <c r="AG347" s="69">
        <f t="shared" si="315"/>
        <v>65610.720000000001</v>
      </c>
      <c r="AH347" s="69">
        <f t="shared" si="315"/>
        <v>67244.063999999998</v>
      </c>
      <c r="AI347" s="69">
        <f t="shared" si="315"/>
        <v>68720.285999999993</v>
      </c>
      <c r="AJ347" s="69">
        <f t="shared" si="315"/>
        <v>70092.678</v>
      </c>
      <c r="AK347" s="69">
        <f t="shared" si="315"/>
        <v>70951.097999999998</v>
      </c>
      <c r="AL347" s="69">
        <f t="shared" si="315"/>
        <v>97388.968000000008</v>
      </c>
      <c r="AN347" s="195" t="s">
        <v>7</v>
      </c>
      <c r="AO347" s="98">
        <f t="shared" ref="AO347:AW347" si="343">H347/H347</f>
        <v>1</v>
      </c>
      <c r="AP347" s="98">
        <f t="shared" si="343"/>
        <v>1</v>
      </c>
      <c r="AQ347" s="98">
        <f t="shared" si="343"/>
        <v>1</v>
      </c>
      <c r="AR347" s="98">
        <f t="shared" si="343"/>
        <v>1</v>
      </c>
      <c r="AS347" s="98">
        <f t="shared" si="343"/>
        <v>1</v>
      </c>
      <c r="AT347" s="98">
        <f t="shared" si="343"/>
        <v>1</v>
      </c>
      <c r="AU347" s="98">
        <f t="shared" si="343"/>
        <v>1</v>
      </c>
      <c r="AV347" s="98">
        <f t="shared" si="343"/>
        <v>1</v>
      </c>
      <c r="AW347" s="98">
        <f t="shared" si="343"/>
        <v>1</v>
      </c>
      <c r="AX347" s="191"/>
      <c r="AY347" s="195" t="s">
        <v>7</v>
      </c>
      <c r="AZ347" s="178">
        <f t="shared" si="317"/>
        <v>6.0000000000000001E-3</v>
      </c>
      <c r="BA347" s="178">
        <f t="shared" si="317"/>
        <v>6.0000000000000001E-3</v>
      </c>
      <c r="BB347" s="178">
        <f t="shared" si="317"/>
        <v>6.0000000000000001E-3</v>
      </c>
      <c r="BC347" s="178">
        <f t="shared" si="317"/>
        <v>6.0000000000000001E-3</v>
      </c>
      <c r="BD347" s="178">
        <f t="shared" si="317"/>
        <v>6.0000000000000001E-3</v>
      </c>
      <c r="BE347" s="178">
        <f t="shared" si="317"/>
        <v>6.0000000000000001E-3</v>
      </c>
      <c r="BF347" s="178">
        <f t="shared" si="317"/>
        <v>6.0000000000000001E-3</v>
      </c>
      <c r="BG347" s="178">
        <f t="shared" si="317"/>
        <v>6.0000000000000001E-3</v>
      </c>
      <c r="BH347" s="178">
        <f t="shared" si="317"/>
        <v>8.0000000000000002E-3</v>
      </c>
      <c r="BI347" s="191"/>
      <c r="BJ347" s="191"/>
      <c r="BK347" s="191"/>
      <c r="BL347" s="191"/>
      <c r="BM347" s="191"/>
      <c r="BN347" s="191"/>
      <c r="BO347" s="191"/>
      <c r="BP347" s="191"/>
    </row>
    <row r="348" spans="2:68" s="108" customFormat="1" x14ac:dyDescent="0.25">
      <c r="B348" s="107"/>
      <c r="E348" s="109" t="s">
        <v>46</v>
      </c>
      <c r="F348" s="110" t="s">
        <v>64</v>
      </c>
      <c r="G348" s="111" t="s">
        <v>54</v>
      </c>
      <c r="H348" s="112">
        <v>2418640</v>
      </c>
      <c r="I348" s="112">
        <v>2272785</v>
      </c>
      <c r="J348" s="112">
        <v>2187215</v>
      </c>
      <c r="K348" s="112">
        <v>2209022</v>
      </c>
      <c r="L348" s="112">
        <v>2108523</v>
      </c>
      <c r="M348" s="112">
        <v>2174158</v>
      </c>
      <c r="N348" s="112">
        <v>2048050</v>
      </c>
      <c r="O348" s="112">
        <v>1979675</v>
      </c>
      <c r="P348" s="112">
        <v>1861907</v>
      </c>
      <c r="R348" s="111" t="s">
        <v>54</v>
      </c>
      <c r="S348" s="220">
        <v>1.5</v>
      </c>
      <c r="T348" s="220">
        <v>1.5</v>
      </c>
      <c r="U348" s="220">
        <v>1.5</v>
      </c>
      <c r="V348" s="220">
        <v>1.6</v>
      </c>
      <c r="W348" s="220">
        <v>1.3</v>
      </c>
      <c r="X348" s="220">
        <v>1.5</v>
      </c>
      <c r="Y348" s="220">
        <v>1.6</v>
      </c>
      <c r="Z348" s="220">
        <v>2.6</v>
      </c>
      <c r="AA348" s="220">
        <v>2.6</v>
      </c>
      <c r="AC348" s="111" t="s">
        <v>54</v>
      </c>
      <c r="AD348" s="112">
        <f t="shared" si="319"/>
        <v>72559.199999999997</v>
      </c>
      <c r="AE348" s="112">
        <f t="shared" si="315"/>
        <v>68183.55</v>
      </c>
      <c r="AF348" s="112">
        <f t="shared" si="315"/>
        <v>65616.45</v>
      </c>
      <c r="AG348" s="112">
        <f t="shared" si="315"/>
        <v>70688.703999999998</v>
      </c>
      <c r="AH348" s="112">
        <f t="shared" si="315"/>
        <v>54821.597999999998</v>
      </c>
      <c r="AI348" s="112">
        <f t="shared" si="315"/>
        <v>65224.74</v>
      </c>
      <c r="AJ348" s="112">
        <f t="shared" si="315"/>
        <v>65537.600000000006</v>
      </c>
      <c r="AK348" s="112">
        <f t="shared" si="315"/>
        <v>102943.1</v>
      </c>
      <c r="AL348" s="112">
        <f t="shared" si="315"/>
        <v>96819.164000000004</v>
      </c>
      <c r="AN348" s="111" t="s">
        <v>54</v>
      </c>
      <c r="AO348" s="113">
        <f t="shared" ref="AO348:AW348" si="344">H348/H347</f>
        <v>0.24486871048575759</v>
      </c>
      <c r="AP348" s="113">
        <f t="shared" si="344"/>
        <v>0.22111517970396755</v>
      </c>
      <c r="AQ348" s="113">
        <f t="shared" si="344"/>
        <v>0.20692519145557706</v>
      </c>
      <c r="AR348" s="113">
        <f t="shared" si="344"/>
        <v>0.20201168345660586</v>
      </c>
      <c r="AS348" s="113">
        <f t="shared" si="344"/>
        <v>0.18813761761930392</v>
      </c>
      <c r="AT348" s="113">
        <f t="shared" si="344"/>
        <v>0.18982674198998531</v>
      </c>
      <c r="AU348" s="113">
        <f t="shared" si="344"/>
        <v>0.17531503076541033</v>
      </c>
      <c r="AV348" s="113">
        <f t="shared" si="344"/>
        <v>0.16741178550894306</v>
      </c>
      <c r="AW348" s="113">
        <f t="shared" si="344"/>
        <v>0.15294602978029298</v>
      </c>
      <c r="AY348" s="111" t="s">
        <v>54</v>
      </c>
      <c r="AZ348" s="179">
        <f t="shared" si="317"/>
        <v>7.3460613145727273E-3</v>
      </c>
      <c r="BA348" s="179">
        <f t="shared" si="317"/>
        <v>6.633455391119026E-3</v>
      </c>
      <c r="BB348" s="179">
        <f t="shared" si="317"/>
        <v>6.2077557436673115E-3</v>
      </c>
      <c r="BC348" s="179">
        <f t="shared" si="317"/>
        <v>6.4643738706113884E-3</v>
      </c>
      <c r="BD348" s="179">
        <f t="shared" si="317"/>
        <v>4.8915780581019024E-3</v>
      </c>
      <c r="BE348" s="179">
        <f t="shared" si="317"/>
        <v>5.6948022596995593E-3</v>
      </c>
      <c r="BF348" s="179">
        <f t="shared" si="317"/>
        <v>5.610080984493131E-3</v>
      </c>
      <c r="BG348" s="179">
        <f t="shared" si="317"/>
        <v>8.7054128464650396E-3</v>
      </c>
      <c r="BH348" s="179">
        <f t="shared" si="317"/>
        <v>7.9531935485752346E-3</v>
      </c>
    </row>
    <row r="349" spans="2:68" s="108" customFormat="1" x14ac:dyDescent="0.25">
      <c r="B349" s="107"/>
      <c r="E349" s="109" t="s">
        <v>46</v>
      </c>
      <c r="F349" s="110" t="s">
        <v>64</v>
      </c>
      <c r="G349" s="111" t="s">
        <v>55</v>
      </c>
      <c r="H349" s="70">
        <v>2272612</v>
      </c>
      <c r="I349" s="70">
        <v>2422033</v>
      </c>
      <c r="J349" s="70">
        <v>2534515</v>
      </c>
      <c r="K349" s="70">
        <v>2563603</v>
      </c>
      <c r="L349" s="70">
        <v>2463386</v>
      </c>
      <c r="M349" s="70">
        <v>2556219</v>
      </c>
      <c r="N349" s="70">
        <v>2561238</v>
      </c>
      <c r="O349" s="112">
        <v>2581462</v>
      </c>
      <c r="P349" s="112">
        <v>2638858</v>
      </c>
      <c r="R349" s="111" t="s">
        <v>55</v>
      </c>
      <c r="S349" s="81">
        <v>1.5</v>
      </c>
      <c r="T349" s="81">
        <v>1.5</v>
      </c>
      <c r="U349" s="81">
        <v>1.5</v>
      </c>
      <c r="V349" s="81">
        <v>1.6</v>
      </c>
      <c r="W349" s="81">
        <v>1.8</v>
      </c>
      <c r="X349" s="81">
        <v>2</v>
      </c>
      <c r="Y349" s="81">
        <v>1.6</v>
      </c>
      <c r="Z349" s="81">
        <v>2.2000000000000002</v>
      </c>
      <c r="AA349" s="81">
        <v>2.2000000000000002</v>
      </c>
      <c r="AC349" s="111" t="s">
        <v>55</v>
      </c>
      <c r="AD349" s="70">
        <f t="shared" si="319"/>
        <v>68178.36</v>
      </c>
      <c r="AE349" s="70">
        <f t="shared" si="315"/>
        <v>72660.990000000005</v>
      </c>
      <c r="AF349" s="70">
        <f t="shared" si="315"/>
        <v>76035.45</v>
      </c>
      <c r="AG349" s="70">
        <f t="shared" si="315"/>
        <v>82035.296000000002</v>
      </c>
      <c r="AH349" s="70">
        <f t="shared" si="315"/>
        <v>88681.895999999993</v>
      </c>
      <c r="AI349" s="70">
        <f t="shared" si="315"/>
        <v>102248.76</v>
      </c>
      <c r="AJ349" s="70">
        <f t="shared" si="315"/>
        <v>81959.616000000009</v>
      </c>
      <c r="AK349" s="70">
        <f t="shared" si="315"/>
        <v>113584.32800000001</v>
      </c>
      <c r="AL349" s="70">
        <f t="shared" si="315"/>
        <v>116109.75200000001</v>
      </c>
      <c r="AN349" s="111" t="s">
        <v>55</v>
      </c>
      <c r="AO349" s="113">
        <f t="shared" ref="AO349:AW349" si="345">H349/H347</f>
        <v>0.23008449784774027</v>
      </c>
      <c r="AP349" s="113">
        <f t="shared" si="345"/>
        <v>0.23563525016397927</v>
      </c>
      <c r="AQ349" s="113">
        <f t="shared" si="345"/>
        <v>0.2397820980662769</v>
      </c>
      <c r="AR349" s="113">
        <f t="shared" si="345"/>
        <v>0.23443757361601886</v>
      </c>
      <c r="AS349" s="113">
        <f t="shared" si="345"/>
        <v>0.21980105188169471</v>
      </c>
      <c r="AT349" s="113">
        <f t="shared" si="345"/>
        <v>0.22318466486009678</v>
      </c>
      <c r="AU349" s="113">
        <f t="shared" si="345"/>
        <v>0.21924441237642539</v>
      </c>
      <c r="AV349" s="113">
        <f t="shared" si="345"/>
        <v>0.21830207617082967</v>
      </c>
      <c r="AW349" s="113">
        <f t="shared" si="345"/>
        <v>0.21676853583662575</v>
      </c>
      <c r="AY349" s="111" t="s">
        <v>55</v>
      </c>
      <c r="AZ349" s="179">
        <f t="shared" si="317"/>
        <v>6.9025349354322075E-3</v>
      </c>
      <c r="BA349" s="179">
        <f t="shared" si="317"/>
        <v>7.0690575049193781E-3</v>
      </c>
      <c r="BB349" s="179">
        <f t="shared" si="317"/>
        <v>7.1934629419883071E-3</v>
      </c>
      <c r="BC349" s="179">
        <f t="shared" si="317"/>
        <v>7.5020023557126033E-3</v>
      </c>
      <c r="BD349" s="179">
        <f t="shared" si="317"/>
        <v>7.9128378677410099E-3</v>
      </c>
      <c r="BE349" s="179">
        <f t="shared" si="317"/>
        <v>8.9273865944038706E-3</v>
      </c>
      <c r="BF349" s="179">
        <f t="shared" si="317"/>
        <v>7.0158211960456131E-3</v>
      </c>
      <c r="BG349" s="179">
        <f t="shared" si="317"/>
        <v>9.6052913515165053E-3</v>
      </c>
      <c r="BH349" s="179">
        <f t="shared" si="317"/>
        <v>9.5378155768115341E-3</v>
      </c>
    </row>
    <row r="350" spans="2:68" s="108" customFormat="1" x14ac:dyDescent="0.25">
      <c r="B350" s="107"/>
      <c r="E350" s="109" t="s">
        <v>46</v>
      </c>
      <c r="F350" s="110" t="s">
        <v>64</v>
      </c>
      <c r="G350" s="111" t="s">
        <v>130</v>
      </c>
      <c r="H350" s="70">
        <v>1193768</v>
      </c>
      <c r="I350" s="70">
        <v>1344779</v>
      </c>
      <c r="J350" s="70">
        <v>1287348</v>
      </c>
      <c r="K350" s="70">
        <v>1210557</v>
      </c>
      <c r="L350" s="70">
        <v>1337270</v>
      </c>
      <c r="M350" s="70">
        <v>1295480</v>
      </c>
      <c r="N350" s="70">
        <v>1406914</v>
      </c>
      <c r="O350" s="112">
        <v>1428990</v>
      </c>
      <c r="P350" s="112">
        <v>1489142</v>
      </c>
      <c r="R350" s="111" t="s">
        <v>130</v>
      </c>
      <c r="S350" s="220">
        <v>2.2000000000000002</v>
      </c>
      <c r="T350" s="220">
        <v>2.2999999999999998</v>
      </c>
      <c r="U350" s="220">
        <v>2.2999999999999998</v>
      </c>
      <c r="V350" s="220">
        <v>2.4</v>
      </c>
      <c r="W350" s="220">
        <v>2.6</v>
      </c>
      <c r="X350" s="220">
        <v>3</v>
      </c>
      <c r="Y350" s="220">
        <v>3</v>
      </c>
      <c r="Z350" s="220">
        <v>3.3</v>
      </c>
      <c r="AA350" s="220">
        <v>3.3</v>
      </c>
      <c r="AC350" s="111" t="s">
        <v>130</v>
      </c>
      <c r="AD350" s="70">
        <f t="shared" si="319"/>
        <v>52525.792000000001</v>
      </c>
      <c r="AE350" s="70">
        <f t="shared" si="315"/>
        <v>61859.833999999995</v>
      </c>
      <c r="AF350" s="70">
        <f t="shared" si="315"/>
        <v>59218.008000000002</v>
      </c>
      <c r="AG350" s="70">
        <f t="shared" si="315"/>
        <v>58106.735999999997</v>
      </c>
      <c r="AH350" s="70">
        <f t="shared" si="315"/>
        <v>69538.039999999994</v>
      </c>
      <c r="AI350" s="70">
        <f t="shared" si="315"/>
        <v>77728.800000000003</v>
      </c>
      <c r="AJ350" s="70">
        <f t="shared" si="315"/>
        <v>84414.84</v>
      </c>
      <c r="AK350" s="70">
        <f t="shared" si="315"/>
        <v>94313.34</v>
      </c>
      <c r="AL350" s="70">
        <f t="shared" si="315"/>
        <v>98283.371999999988</v>
      </c>
      <c r="AN350" s="111" t="s">
        <v>130</v>
      </c>
      <c r="AO350" s="113">
        <f t="shared" ref="AO350:AW350" si="346">H350/H347</f>
        <v>0.1208598347745683</v>
      </c>
      <c r="AP350" s="113">
        <f t="shared" si="346"/>
        <v>0.13083113899780305</v>
      </c>
      <c r="AQ350" s="113">
        <f t="shared" si="346"/>
        <v>0.12179174492217464</v>
      </c>
      <c r="AR350" s="113">
        <f t="shared" si="346"/>
        <v>0.11070358624322367</v>
      </c>
      <c r="AS350" s="113">
        <f t="shared" si="346"/>
        <v>0.11932086674594801</v>
      </c>
      <c r="AT350" s="113">
        <f t="shared" si="346"/>
        <v>0.11310895883058461</v>
      </c>
      <c r="AU350" s="113">
        <f t="shared" si="346"/>
        <v>0.12043317848406362</v>
      </c>
      <c r="AV350" s="113">
        <f t="shared" si="346"/>
        <v>0.1208429501682976</v>
      </c>
      <c r="AW350" s="113">
        <f t="shared" si="346"/>
        <v>0.12232531306831386</v>
      </c>
      <c r="AY350" s="111" t="s">
        <v>130</v>
      </c>
      <c r="AZ350" s="179">
        <f t="shared" si="317"/>
        <v>5.3178327300810058E-3</v>
      </c>
      <c r="BA350" s="179">
        <f t="shared" si="317"/>
        <v>6.0182323938989405E-3</v>
      </c>
      <c r="BB350" s="179">
        <f t="shared" si="317"/>
        <v>5.6024202664200331E-3</v>
      </c>
      <c r="BC350" s="179">
        <f t="shared" ref="BC350:BH361" si="347">2*(V350*AR350/100)</f>
        <v>5.3137721396747358E-3</v>
      </c>
      <c r="BD350" s="179">
        <f t="shared" si="347"/>
        <v>6.204685070789296E-3</v>
      </c>
      <c r="BE350" s="179">
        <f t="shared" si="347"/>
        <v>6.7865375298350773E-3</v>
      </c>
      <c r="BF350" s="179">
        <f t="shared" si="347"/>
        <v>7.2259907090438166E-3</v>
      </c>
      <c r="BG350" s="179">
        <f t="shared" si="347"/>
        <v>7.9756347111076403E-3</v>
      </c>
      <c r="BH350" s="179">
        <f t="shared" si="347"/>
        <v>8.0734706625087138E-3</v>
      </c>
    </row>
    <row r="351" spans="2:68" s="108" customFormat="1" x14ac:dyDescent="0.25">
      <c r="B351" s="107"/>
      <c r="E351" s="109" t="s">
        <v>46</v>
      </c>
      <c r="F351" s="110" t="s">
        <v>64</v>
      </c>
      <c r="G351" s="111" t="s">
        <v>131</v>
      </c>
      <c r="H351" s="112">
        <v>3969282</v>
      </c>
      <c r="I351" s="112">
        <v>4167279</v>
      </c>
      <c r="J351" s="112">
        <v>4449089</v>
      </c>
      <c r="K351" s="112">
        <v>4883930</v>
      </c>
      <c r="L351" s="112">
        <v>5221092</v>
      </c>
      <c r="M351" s="112">
        <v>5302855</v>
      </c>
      <c r="N351" s="112">
        <v>5543608</v>
      </c>
      <c r="O351" s="112">
        <v>5835056</v>
      </c>
      <c r="P351" s="112">
        <v>6183714</v>
      </c>
      <c r="R351" s="111" t="s">
        <v>131</v>
      </c>
      <c r="S351" s="220">
        <v>1.1000000000000001</v>
      </c>
      <c r="T351" s="220">
        <v>0.9</v>
      </c>
      <c r="U351" s="220">
        <v>0.9</v>
      </c>
      <c r="V351" s="220">
        <v>1</v>
      </c>
      <c r="W351" s="220">
        <v>0.9</v>
      </c>
      <c r="X351" s="220">
        <v>0.7</v>
      </c>
      <c r="Y351" s="220">
        <v>0.9</v>
      </c>
      <c r="Z351" s="220">
        <v>1.2</v>
      </c>
      <c r="AA351" s="220">
        <v>1.2</v>
      </c>
      <c r="AC351" s="111" t="s">
        <v>131</v>
      </c>
      <c r="AD351" s="112">
        <f t="shared" si="319"/>
        <v>87324.203999999998</v>
      </c>
      <c r="AE351" s="112">
        <f t="shared" si="315"/>
        <v>75011.021999999997</v>
      </c>
      <c r="AF351" s="112">
        <f t="shared" si="315"/>
        <v>80083.601999999999</v>
      </c>
      <c r="AG351" s="112">
        <f t="shared" si="315"/>
        <v>97678.6</v>
      </c>
      <c r="AH351" s="112">
        <f t="shared" si="315"/>
        <v>93979.656000000003</v>
      </c>
      <c r="AI351" s="112">
        <f t="shared" si="315"/>
        <v>74239.969999999987</v>
      </c>
      <c r="AJ351" s="112">
        <f t="shared" si="315"/>
        <v>99784.944000000003</v>
      </c>
      <c r="AK351" s="112">
        <f t="shared" si="315"/>
        <v>140041.34400000001</v>
      </c>
      <c r="AL351" s="112">
        <f t="shared" si="315"/>
        <v>148409.136</v>
      </c>
      <c r="AN351" s="111" t="s">
        <v>131</v>
      </c>
      <c r="AO351" s="113">
        <f t="shared" ref="AO351:AW351" si="348">H351/H347</f>
        <v>0.40185929484930738</v>
      </c>
      <c r="AP351" s="113">
        <f t="shared" si="348"/>
        <v>0.40542710593460013</v>
      </c>
      <c r="AQ351" s="113">
        <f t="shared" si="348"/>
        <v>0.42091362446211361</v>
      </c>
      <c r="AR351" s="113">
        <f t="shared" si="348"/>
        <v>0.44662792909451382</v>
      </c>
      <c r="AS351" s="113">
        <f t="shared" si="348"/>
        <v>0.46586345524862982</v>
      </c>
      <c r="AT351" s="113">
        <f t="shared" si="348"/>
        <v>0.462994726186093</v>
      </c>
      <c r="AU351" s="113">
        <f t="shared" si="348"/>
        <v>0.47453812508062537</v>
      </c>
      <c r="AV351" s="113">
        <f t="shared" si="348"/>
        <v>0.49344318815192967</v>
      </c>
      <c r="AW351" s="113">
        <f t="shared" si="348"/>
        <v>0.50796012131476742</v>
      </c>
      <c r="AY351" s="111" t="s">
        <v>131</v>
      </c>
      <c r="AZ351" s="179">
        <f t="shared" ref="AZ351:BB361" si="349">2*(S351*AO351/100)</f>
        <v>8.8409044866847638E-3</v>
      </c>
      <c r="BA351" s="179">
        <f t="shared" si="349"/>
        <v>7.2976879068228032E-3</v>
      </c>
      <c r="BB351" s="179">
        <f t="shared" si="349"/>
        <v>7.5764452403180452E-3</v>
      </c>
      <c r="BC351" s="179">
        <f t="shared" si="347"/>
        <v>8.9325585818902757E-3</v>
      </c>
      <c r="BD351" s="179">
        <f t="shared" si="347"/>
        <v>8.3855421944753379E-3</v>
      </c>
      <c r="BE351" s="179">
        <f t="shared" si="347"/>
        <v>6.4819261666053014E-3</v>
      </c>
      <c r="BF351" s="179">
        <f t="shared" si="347"/>
        <v>8.5416862514512571E-3</v>
      </c>
      <c r="BG351" s="179">
        <f t="shared" si="347"/>
        <v>1.1842636515646312E-2</v>
      </c>
      <c r="BH351" s="179">
        <f t="shared" si="347"/>
        <v>1.2191042911554418E-2</v>
      </c>
    </row>
    <row r="352" spans="2:68" s="87" customFormat="1" x14ac:dyDescent="0.25">
      <c r="B352" s="84"/>
      <c r="C352" s="85"/>
      <c r="D352" s="85"/>
      <c r="E352" s="109" t="s">
        <v>4</v>
      </c>
      <c r="F352" s="110" t="s">
        <v>64</v>
      </c>
      <c r="G352" s="195" t="s">
        <v>7</v>
      </c>
      <c r="H352" s="69">
        <v>4846436</v>
      </c>
      <c r="I352" s="69">
        <v>5047689</v>
      </c>
      <c r="J352" s="69">
        <v>5196174</v>
      </c>
      <c r="K352" s="69">
        <v>5368865</v>
      </c>
      <c r="L352" s="69">
        <v>5494081</v>
      </c>
      <c r="M352" s="69">
        <v>5611497</v>
      </c>
      <c r="N352" s="69">
        <v>5712762</v>
      </c>
      <c r="O352" s="69">
        <v>5770590</v>
      </c>
      <c r="P352" s="69">
        <v>5948435</v>
      </c>
      <c r="R352" s="195" t="s">
        <v>7</v>
      </c>
      <c r="S352" s="226">
        <v>0.9</v>
      </c>
      <c r="T352" s="226">
        <v>0.3</v>
      </c>
      <c r="U352" s="226">
        <v>0.3</v>
      </c>
      <c r="V352" s="226">
        <v>0.4</v>
      </c>
      <c r="W352" s="226">
        <v>0.4</v>
      </c>
      <c r="X352" s="226">
        <v>0.4</v>
      </c>
      <c r="Y352" s="226">
        <v>0.4</v>
      </c>
      <c r="Z352" s="226">
        <v>0.5</v>
      </c>
      <c r="AA352" s="226">
        <v>0.5</v>
      </c>
      <c r="AC352" s="195" t="s">
        <v>7</v>
      </c>
      <c r="AD352" s="69">
        <f t="shared" si="319"/>
        <v>87235.848000000013</v>
      </c>
      <c r="AE352" s="69">
        <f t="shared" si="315"/>
        <v>30286.133999999998</v>
      </c>
      <c r="AF352" s="69">
        <f t="shared" si="315"/>
        <v>31177.043999999998</v>
      </c>
      <c r="AG352" s="69">
        <f t="shared" si="315"/>
        <v>42950.92</v>
      </c>
      <c r="AH352" s="69">
        <f t="shared" si="315"/>
        <v>43952.648000000001</v>
      </c>
      <c r="AI352" s="69">
        <f t="shared" si="315"/>
        <v>44891.976000000002</v>
      </c>
      <c r="AJ352" s="69">
        <f t="shared" si="315"/>
        <v>45702.096000000005</v>
      </c>
      <c r="AK352" s="69">
        <f t="shared" si="315"/>
        <v>57705.9</v>
      </c>
      <c r="AL352" s="69">
        <f t="shared" si="315"/>
        <v>59484.35</v>
      </c>
      <c r="AN352" s="195" t="s">
        <v>7</v>
      </c>
      <c r="AO352" s="98">
        <f t="shared" ref="AO352:AW352" si="350">H352/H352</f>
        <v>1</v>
      </c>
      <c r="AP352" s="98">
        <f t="shared" si="350"/>
        <v>1</v>
      </c>
      <c r="AQ352" s="98">
        <f t="shared" si="350"/>
        <v>1</v>
      </c>
      <c r="AR352" s="98">
        <f t="shared" si="350"/>
        <v>1</v>
      </c>
      <c r="AS352" s="98">
        <f t="shared" si="350"/>
        <v>1</v>
      </c>
      <c r="AT352" s="98">
        <f t="shared" si="350"/>
        <v>1</v>
      </c>
      <c r="AU352" s="98">
        <f t="shared" si="350"/>
        <v>1</v>
      </c>
      <c r="AV352" s="98">
        <f t="shared" si="350"/>
        <v>1</v>
      </c>
      <c r="AW352" s="98">
        <f t="shared" si="350"/>
        <v>1</v>
      </c>
      <c r="AX352" s="191"/>
      <c r="AY352" s="195" t="s">
        <v>7</v>
      </c>
      <c r="AZ352" s="178">
        <f t="shared" si="349"/>
        <v>1.8000000000000002E-2</v>
      </c>
      <c r="BA352" s="178">
        <f t="shared" si="349"/>
        <v>6.0000000000000001E-3</v>
      </c>
      <c r="BB352" s="178">
        <f t="shared" si="349"/>
        <v>6.0000000000000001E-3</v>
      </c>
      <c r="BC352" s="178">
        <f t="shared" si="347"/>
        <v>8.0000000000000002E-3</v>
      </c>
      <c r="BD352" s="178">
        <f t="shared" si="347"/>
        <v>8.0000000000000002E-3</v>
      </c>
      <c r="BE352" s="178">
        <f t="shared" si="347"/>
        <v>8.0000000000000002E-3</v>
      </c>
      <c r="BF352" s="178">
        <f t="shared" si="347"/>
        <v>8.0000000000000002E-3</v>
      </c>
      <c r="BG352" s="178">
        <f t="shared" si="347"/>
        <v>0.01</v>
      </c>
      <c r="BH352" s="178">
        <f t="shared" si="347"/>
        <v>0.01</v>
      </c>
      <c r="BI352" s="191"/>
      <c r="BJ352" s="191"/>
      <c r="BK352" s="191"/>
      <c r="BL352" s="191"/>
      <c r="BM352" s="191"/>
      <c r="BN352" s="191"/>
      <c r="BO352" s="191"/>
      <c r="BP352" s="191"/>
    </row>
    <row r="353" spans="2:68" s="108" customFormat="1" x14ac:dyDescent="0.25">
      <c r="B353" s="107"/>
      <c r="E353" s="109" t="s">
        <v>4</v>
      </c>
      <c r="F353" s="110" t="s">
        <v>64</v>
      </c>
      <c r="G353" s="111" t="s">
        <v>54</v>
      </c>
      <c r="H353" s="112">
        <v>1323306</v>
      </c>
      <c r="I353" s="112">
        <v>1257057</v>
      </c>
      <c r="J353" s="112">
        <v>1211064</v>
      </c>
      <c r="K353" s="112">
        <v>1261241</v>
      </c>
      <c r="L353" s="112">
        <v>1227017</v>
      </c>
      <c r="M353" s="112">
        <v>1263808</v>
      </c>
      <c r="N353" s="112">
        <v>1212679</v>
      </c>
      <c r="O353" s="112">
        <v>1145267</v>
      </c>
      <c r="P353" s="112">
        <v>1108513</v>
      </c>
      <c r="R353" s="111" t="s">
        <v>54</v>
      </c>
      <c r="S353" s="220">
        <v>2.2000000000000002</v>
      </c>
      <c r="T353" s="220">
        <v>2.2000000000000002</v>
      </c>
      <c r="U353" s="220">
        <v>2.2999999999999998</v>
      </c>
      <c r="V353" s="220">
        <v>1.9</v>
      </c>
      <c r="W353" s="220">
        <v>2.5</v>
      </c>
      <c r="X353" s="220">
        <v>2</v>
      </c>
      <c r="Y353" s="220">
        <v>2</v>
      </c>
      <c r="Z353" s="220">
        <v>3.3</v>
      </c>
      <c r="AA353" s="220">
        <v>3.3</v>
      </c>
      <c r="AC353" s="111" t="s">
        <v>54</v>
      </c>
      <c r="AD353" s="112">
        <f t="shared" si="319"/>
        <v>58225.464000000007</v>
      </c>
      <c r="AE353" s="112">
        <f t="shared" si="315"/>
        <v>55310.508000000009</v>
      </c>
      <c r="AF353" s="112">
        <f t="shared" si="315"/>
        <v>55708.943999999996</v>
      </c>
      <c r="AG353" s="112">
        <f t="shared" si="315"/>
        <v>47927.157999999996</v>
      </c>
      <c r="AH353" s="112">
        <f t="shared" si="315"/>
        <v>61350.85</v>
      </c>
      <c r="AI353" s="112">
        <f t="shared" si="315"/>
        <v>50552.32</v>
      </c>
      <c r="AJ353" s="112">
        <f t="shared" si="315"/>
        <v>48507.16</v>
      </c>
      <c r="AK353" s="112">
        <f t="shared" si="315"/>
        <v>75587.621999999988</v>
      </c>
      <c r="AL353" s="112">
        <f t="shared" si="315"/>
        <v>73161.857999999993</v>
      </c>
      <c r="AN353" s="111" t="s">
        <v>54</v>
      </c>
      <c r="AO353" s="113">
        <f t="shared" ref="AO353:AW353" si="351">H353/H352</f>
        <v>0.27304724543974168</v>
      </c>
      <c r="AP353" s="113">
        <f t="shared" si="351"/>
        <v>0.24903614307458324</v>
      </c>
      <c r="AQ353" s="113">
        <f t="shared" si="351"/>
        <v>0.23306840763992892</v>
      </c>
      <c r="AR353" s="113">
        <f t="shared" si="351"/>
        <v>0.23491762225349305</v>
      </c>
      <c r="AS353" s="113">
        <f t="shared" si="351"/>
        <v>0.22333434836508598</v>
      </c>
      <c r="AT353" s="113">
        <f t="shared" si="351"/>
        <v>0.22521762018227934</v>
      </c>
      <c r="AU353" s="113">
        <f t="shared" si="351"/>
        <v>0.21227542824294099</v>
      </c>
      <c r="AV353" s="113">
        <f t="shared" si="351"/>
        <v>0.19846618803276614</v>
      </c>
      <c r="AW353" s="113">
        <f t="shared" si="351"/>
        <v>0.18635372160912914</v>
      </c>
      <c r="AY353" s="111" t="s">
        <v>54</v>
      </c>
      <c r="AZ353" s="179">
        <f t="shared" si="349"/>
        <v>1.2014078799348635E-2</v>
      </c>
      <c r="BA353" s="179">
        <f t="shared" si="349"/>
        <v>1.0957590295281663E-2</v>
      </c>
      <c r="BB353" s="179">
        <f t="shared" si="349"/>
        <v>1.072114675143673E-2</v>
      </c>
      <c r="BC353" s="179">
        <f t="shared" si="347"/>
        <v>8.9268696456327352E-3</v>
      </c>
      <c r="BD353" s="179">
        <f t="shared" si="347"/>
        <v>1.1166717418254299E-2</v>
      </c>
      <c r="BE353" s="179">
        <f t="shared" si="347"/>
        <v>9.0087048072911742E-3</v>
      </c>
      <c r="BF353" s="179">
        <f t="shared" si="347"/>
        <v>8.4910171297176394E-3</v>
      </c>
      <c r="BG353" s="179">
        <f t="shared" si="347"/>
        <v>1.3098768410162564E-2</v>
      </c>
      <c r="BH353" s="179">
        <f t="shared" si="347"/>
        <v>1.2299345626202522E-2</v>
      </c>
    </row>
    <row r="354" spans="2:68" s="108" customFormat="1" x14ac:dyDescent="0.25">
      <c r="B354" s="107"/>
      <c r="E354" s="109" t="s">
        <v>4</v>
      </c>
      <c r="F354" s="110" t="s">
        <v>64</v>
      </c>
      <c r="G354" s="111" t="s">
        <v>55</v>
      </c>
      <c r="H354" s="70">
        <v>1268441</v>
      </c>
      <c r="I354" s="70">
        <v>1362536</v>
      </c>
      <c r="J354" s="70">
        <v>1428811</v>
      </c>
      <c r="K354" s="70">
        <v>1453774</v>
      </c>
      <c r="L354" s="70">
        <v>1353347</v>
      </c>
      <c r="M354" s="70">
        <v>1411661</v>
      </c>
      <c r="N354" s="70">
        <v>1433694</v>
      </c>
      <c r="O354" s="112">
        <v>1428836</v>
      </c>
      <c r="P354" s="112">
        <v>1498342</v>
      </c>
      <c r="R354" s="111" t="s">
        <v>55</v>
      </c>
      <c r="S354" s="81">
        <v>2.2000000000000002</v>
      </c>
      <c r="T354" s="81">
        <v>2.2999999999999998</v>
      </c>
      <c r="U354" s="81">
        <v>2.2999999999999998</v>
      </c>
      <c r="V354" s="81">
        <v>2.4</v>
      </c>
      <c r="W354" s="81">
        <v>2.6</v>
      </c>
      <c r="X354" s="81">
        <v>3</v>
      </c>
      <c r="Y354" s="81">
        <v>2.2000000000000002</v>
      </c>
      <c r="Z354" s="81">
        <v>3.3</v>
      </c>
      <c r="AA354" s="81">
        <v>3.3</v>
      </c>
      <c r="AC354" s="111" t="s">
        <v>55</v>
      </c>
      <c r="AD354" s="70">
        <f t="shared" si="319"/>
        <v>55811.404000000002</v>
      </c>
      <c r="AE354" s="70">
        <f t="shared" si="315"/>
        <v>62676.655999999995</v>
      </c>
      <c r="AF354" s="70">
        <f t="shared" ref="AF354:AL361" si="352">2*(J354*U354/100)</f>
        <v>65725.305999999997</v>
      </c>
      <c r="AG354" s="70">
        <f t="shared" si="352"/>
        <v>69781.152000000002</v>
      </c>
      <c r="AH354" s="70">
        <f t="shared" si="352"/>
        <v>70374.044000000009</v>
      </c>
      <c r="AI354" s="70">
        <f t="shared" si="352"/>
        <v>84699.66</v>
      </c>
      <c r="AJ354" s="70">
        <f t="shared" si="352"/>
        <v>63082.536000000007</v>
      </c>
      <c r="AK354" s="70">
        <f t="shared" si="352"/>
        <v>94303.175999999992</v>
      </c>
      <c r="AL354" s="70">
        <f t="shared" si="352"/>
        <v>98890.571999999986</v>
      </c>
      <c r="AN354" s="111" t="s">
        <v>55</v>
      </c>
      <c r="AO354" s="113">
        <f t="shared" ref="AO354:AW354" si="353">H354/H352</f>
        <v>0.26172655534912664</v>
      </c>
      <c r="AP354" s="113">
        <f t="shared" si="353"/>
        <v>0.26993263649959415</v>
      </c>
      <c r="AQ354" s="113">
        <f t="shared" si="353"/>
        <v>0.27497366331458495</v>
      </c>
      <c r="AR354" s="113">
        <f t="shared" si="353"/>
        <v>0.27077864688346603</v>
      </c>
      <c r="AS354" s="113">
        <f t="shared" si="353"/>
        <v>0.24632818482290306</v>
      </c>
      <c r="AT354" s="113">
        <f t="shared" si="353"/>
        <v>0.25156584775862839</v>
      </c>
      <c r="AU354" s="113">
        <f t="shared" si="353"/>
        <v>0.25096336938244584</v>
      </c>
      <c r="AV354" s="113">
        <f t="shared" si="353"/>
        <v>0.24760657055864305</v>
      </c>
      <c r="AW354" s="113">
        <f t="shared" si="353"/>
        <v>0.25188843788324156</v>
      </c>
      <c r="AY354" s="111" t="s">
        <v>55</v>
      </c>
      <c r="AZ354" s="179">
        <f t="shared" si="349"/>
        <v>1.1515968435361575E-2</v>
      </c>
      <c r="BA354" s="179">
        <f t="shared" si="349"/>
        <v>1.2416901278981329E-2</v>
      </c>
      <c r="BB354" s="179">
        <f t="shared" si="349"/>
        <v>1.2648788512470907E-2</v>
      </c>
      <c r="BC354" s="179">
        <f t="shared" si="347"/>
        <v>1.299737505040637E-2</v>
      </c>
      <c r="BD354" s="179">
        <f t="shared" si="347"/>
        <v>1.2809065610790959E-2</v>
      </c>
      <c r="BE354" s="179">
        <f t="shared" si="347"/>
        <v>1.5093950865517703E-2</v>
      </c>
      <c r="BF354" s="179">
        <f t="shared" si="347"/>
        <v>1.1042388252827617E-2</v>
      </c>
      <c r="BG354" s="179">
        <f t="shared" si="347"/>
        <v>1.6342033656870439E-2</v>
      </c>
      <c r="BH354" s="179">
        <f t="shared" si="347"/>
        <v>1.6624636900293942E-2</v>
      </c>
    </row>
    <row r="355" spans="2:68" s="108" customFormat="1" x14ac:dyDescent="0.25">
      <c r="B355" s="107"/>
      <c r="E355" s="109" t="s">
        <v>4</v>
      </c>
      <c r="F355" s="110" t="s">
        <v>64</v>
      </c>
      <c r="G355" s="111" t="s">
        <v>130</v>
      </c>
      <c r="H355" s="70">
        <v>582456</v>
      </c>
      <c r="I355" s="70">
        <v>668812</v>
      </c>
      <c r="J355" s="70">
        <v>665913</v>
      </c>
      <c r="K355" s="70">
        <v>649671</v>
      </c>
      <c r="L355" s="70">
        <v>698957</v>
      </c>
      <c r="M355" s="70">
        <v>673070</v>
      </c>
      <c r="N355" s="70">
        <v>725612</v>
      </c>
      <c r="O355" s="112">
        <v>743662</v>
      </c>
      <c r="P355" s="112">
        <v>803070</v>
      </c>
      <c r="R355" s="111" t="s">
        <v>130</v>
      </c>
      <c r="S355" s="220">
        <v>3.2</v>
      </c>
      <c r="T355" s="220">
        <v>3.3</v>
      </c>
      <c r="U355" s="220">
        <v>3.4</v>
      </c>
      <c r="V355" s="220">
        <v>3.6</v>
      </c>
      <c r="W355" s="220">
        <v>3.8</v>
      </c>
      <c r="X355" s="220">
        <v>4.3</v>
      </c>
      <c r="Y355" s="220">
        <v>3.3</v>
      </c>
      <c r="Z355" s="220">
        <v>4.7</v>
      </c>
      <c r="AA355" s="220">
        <v>3.8</v>
      </c>
      <c r="AC355" s="111" t="s">
        <v>130</v>
      </c>
      <c r="AD355" s="70">
        <f t="shared" si="319"/>
        <v>37277.184000000001</v>
      </c>
      <c r="AE355" s="70">
        <f t="shared" si="319"/>
        <v>44141.592000000004</v>
      </c>
      <c r="AF355" s="70">
        <f t="shared" si="352"/>
        <v>45282.083999999995</v>
      </c>
      <c r="AG355" s="70">
        <f t="shared" si="352"/>
        <v>46776.312000000005</v>
      </c>
      <c r="AH355" s="70">
        <f t="shared" si="352"/>
        <v>53120.732000000004</v>
      </c>
      <c r="AI355" s="70">
        <f t="shared" si="352"/>
        <v>57884.02</v>
      </c>
      <c r="AJ355" s="70">
        <f t="shared" si="352"/>
        <v>47890.392</v>
      </c>
      <c r="AK355" s="70">
        <f t="shared" si="352"/>
        <v>69904.228000000003</v>
      </c>
      <c r="AL355" s="70">
        <f t="shared" si="352"/>
        <v>61033.32</v>
      </c>
      <c r="AN355" s="111" t="s">
        <v>130</v>
      </c>
      <c r="AO355" s="113">
        <f t="shared" ref="AO355:AW355" si="354">H355/H352</f>
        <v>0.1201823360506566</v>
      </c>
      <c r="AP355" s="113">
        <f t="shared" si="354"/>
        <v>0.13249865433468663</v>
      </c>
      <c r="AQ355" s="113">
        <f t="shared" si="354"/>
        <v>0.12815448443412403</v>
      </c>
      <c r="AR355" s="113">
        <f t="shared" si="354"/>
        <v>0.12100714024286326</v>
      </c>
      <c r="AS355" s="113">
        <f t="shared" si="354"/>
        <v>0.12722000276297346</v>
      </c>
      <c r="AT355" s="113">
        <f t="shared" si="354"/>
        <v>0.11994482042848816</v>
      </c>
      <c r="AU355" s="113">
        <f t="shared" si="354"/>
        <v>0.12701596880808266</v>
      </c>
      <c r="AV355" s="113">
        <f t="shared" si="354"/>
        <v>0.12887105131364385</v>
      </c>
      <c r="AW355" s="113">
        <f t="shared" si="354"/>
        <v>0.13500525768542482</v>
      </c>
      <c r="AY355" s="111" t="s">
        <v>130</v>
      </c>
      <c r="AZ355" s="179">
        <f t="shared" si="349"/>
        <v>7.6916695072420226E-3</v>
      </c>
      <c r="BA355" s="179">
        <f t="shared" si="349"/>
        <v>8.7449111860893169E-3</v>
      </c>
      <c r="BB355" s="179">
        <f t="shared" si="349"/>
        <v>8.7145049415204342E-3</v>
      </c>
      <c r="BC355" s="179">
        <f t="shared" si="347"/>
        <v>8.7125140974861556E-3</v>
      </c>
      <c r="BD355" s="179">
        <f t="shared" si="347"/>
        <v>9.6687202099859822E-3</v>
      </c>
      <c r="BE355" s="179">
        <f t="shared" si="347"/>
        <v>1.031525455684998E-2</v>
      </c>
      <c r="BF355" s="179">
        <f t="shared" si="347"/>
        <v>8.3830539413334553E-3</v>
      </c>
      <c r="BG355" s="179">
        <f t="shared" si="347"/>
        <v>1.2113878823482522E-2</v>
      </c>
      <c r="BH355" s="179">
        <f t="shared" si="347"/>
        <v>1.0260399584092285E-2</v>
      </c>
    </row>
    <row r="356" spans="2:68" s="108" customFormat="1" x14ac:dyDescent="0.25">
      <c r="B356" s="107"/>
      <c r="E356" s="109" t="s">
        <v>4</v>
      </c>
      <c r="F356" s="110" t="s">
        <v>64</v>
      </c>
      <c r="G356" s="111" t="s">
        <v>131</v>
      </c>
      <c r="H356" s="112">
        <v>1657146</v>
      </c>
      <c r="I356" s="112">
        <v>1726610</v>
      </c>
      <c r="J356" s="112">
        <v>1839831</v>
      </c>
      <c r="K356" s="112">
        <v>1970100</v>
      </c>
      <c r="L356" s="112">
        <v>2177112</v>
      </c>
      <c r="M356" s="112">
        <v>2203313</v>
      </c>
      <c r="N356" s="112">
        <v>2290396</v>
      </c>
      <c r="O356" s="112">
        <v>2452825</v>
      </c>
      <c r="P356" s="112">
        <v>2538510</v>
      </c>
      <c r="R356" s="111" t="s">
        <v>131</v>
      </c>
      <c r="S356" s="220">
        <v>1.8</v>
      </c>
      <c r="T356" s="220">
        <v>1.4</v>
      </c>
      <c r="U356" s="220">
        <v>1.7</v>
      </c>
      <c r="V356" s="220">
        <v>1.7</v>
      </c>
      <c r="W356" s="220">
        <v>1.2</v>
      </c>
      <c r="X356" s="220">
        <v>1.3</v>
      </c>
      <c r="Y356" s="220">
        <v>1.2</v>
      </c>
      <c r="Z356" s="220">
        <v>2.2000000000000002</v>
      </c>
      <c r="AA356" s="220">
        <v>2.2000000000000002</v>
      </c>
      <c r="AC356" s="111" t="s">
        <v>131</v>
      </c>
      <c r="AD356" s="112">
        <f t="shared" si="319"/>
        <v>59657.256000000008</v>
      </c>
      <c r="AE356" s="112">
        <f t="shared" si="319"/>
        <v>48345.08</v>
      </c>
      <c r="AF356" s="112">
        <f t="shared" si="352"/>
        <v>62554.253999999994</v>
      </c>
      <c r="AG356" s="112">
        <f t="shared" si="352"/>
        <v>66983.399999999994</v>
      </c>
      <c r="AH356" s="112">
        <f t="shared" si="352"/>
        <v>52250.687999999995</v>
      </c>
      <c r="AI356" s="112">
        <f t="shared" si="352"/>
        <v>57286.137999999999</v>
      </c>
      <c r="AJ356" s="112">
        <f t="shared" si="352"/>
        <v>54969.503999999994</v>
      </c>
      <c r="AK356" s="112">
        <f t="shared" si="352"/>
        <v>107924.3</v>
      </c>
      <c r="AL356" s="112">
        <f t="shared" si="352"/>
        <v>111694.44</v>
      </c>
      <c r="AN356" s="111" t="s">
        <v>131</v>
      </c>
      <c r="AO356" s="113">
        <f t="shared" ref="AO356:AW356" si="355">H356/H352</f>
        <v>0.34193085393059974</v>
      </c>
      <c r="AP356" s="113">
        <f t="shared" si="355"/>
        <v>0.3420595048545978</v>
      </c>
      <c r="AQ356" s="113">
        <f t="shared" si="355"/>
        <v>0.35407417072638447</v>
      </c>
      <c r="AR356" s="113">
        <f t="shared" si="355"/>
        <v>0.36694906651592096</v>
      </c>
      <c r="AS356" s="113">
        <f t="shared" si="355"/>
        <v>0.39626499864126502</v>
      </c>
      <c r="AT356" s="113">
        <f t="shared" si="355"/>
        <v>0.39264264063582321</v>
      </c>
      <c r="AU356" s="113">
        <f t="shared" si="355"/>
        <v>0.40092620697308939</v>
      </c>
      <c r="AV356" s="113">
        <f t="shared" si="355"/>
        <v>0.42505619009494694</v>
      </c>
      <c r="AW356" s="113">
        <f t="shared" si="355"/>
        <v>0.42675258282220452</v>
      </c>
      <c r="AY356" s="111" t="s">
        <v>131</v>
      </c>
      <c r="AZ356" s="179">
        <f t="shared" si="349"/>
        <v>1.230951074150159E-2</v>
      </c>
      <c r="BA356" s="179">
        <f t="shared" si="349"/>
        <v>9.5776661359287373E-3</v>
      </c>
      <c r="BB356" s="179">
        <f t="shared" si="349"/>
        <v>1.2038521804697071E-2</v>
      </c>
      <c r="BC356" s="179">
        <f t="shared" si="347"/>
        <v>1.2476268261541312E-2</v>
      </c>
      <c r="BD356" s="179">
        <f t="shared" si="347"/>
        <v>9.51035996739036E-3</v>
      </c>
      <c r="BE356" s="179">
        <f t="shared" si="347"/>
        <v>1.0208708656531404E-2</v>
      </c>
      <c r="BF356" s="179">
        <f t="shared" si="347"/>
        <v>9.6222289673541447E-3</v>
      </c>
      <c r="BG356" s="179">
        <f t="shared" si="347"/>
        <v>1.8702472364177668E-2</v>
      </c>
      <c r="BH356" s="179">
        <f t="shared" si="347"/>
        <v>1.8777113644176998E-2</v>
      </c>
    </row>
    <row r="357" spans="2:68" s="87" customFormat="1" x14ac:dyDescent="0.25">
      <c r="B357" s="84"/>
      <c r="C357" s="85"/>
      <c r="D357" s="85"/>
      <c r="E357" s="109" t="s">
        <v>5</v>
      </c>
      <c r="F357" s="110" t="s">
        <v>64</v>
      </c>
      <c r="G357" s="195" t="s">
        <v>7</v>
      </c>
      <c r="H357" s="69">
        <v>5030857</v>
      </c>
      <c r="I357" s="69">
        <v>5231049</v>
      </c>
      <c r="J357" s="69">
        <v>5373902</v>
      </c>
      <c r="K357" s="69">
        <v>5566255</v>
      </c>
      <c r="L357" s="69">
        <v>5713263</v>
      </c>
      <c r="M357" s="69">
        <v>5841884</v>
      </c>
      <c r="N357" s="69">
        <v>5969351</v>
      </c>
      <c r="O357" s="69">
        <v>6054593</v>
      </c>
      <c r="P357" s="69">
        <v>6225186</v>
      </c>
      <c r="R357" s="195" t="s">
        <v>7</v>
      </c>
      <c r="S357" s="226">
        <v>0.6</v>
      </c>
      <c r="T357" s="226">
        <v>0.3</v>
      </c>
      <c r="U357" s="226">
        <v>0.3</v>
      </c>
      <c r="V357" s="226">
        <v>0.4</v>
      </c>
      <c r="W357" s="226">
        <v>0.4</v>
      </c>
      <c r="X357" s="226">
        <v>0.4</v>
      </c>
      <c r="Y357" s="226">
        <v>0.4</v>
      </c>
      <c r="Z357" s="226">
        <v>0.4</v>
      </c>
      <c r="AA357" s="226">
        <v>0.4</v>
      </c>
      <c r="AC357" s="195" t="s">
        <v>7</v>
      </c>
      <c r="AD357" s="69">
        <f t="shared" si="319"/>
        <v>60370.283999999992</v>
      </c>
      <c r="AE357" s="69">
        <f t="shared" si="319"/>
        <v>31386.293999999998</v>
      </c>
      <c r="AF357" s="69">
        <f t="shared" si="352"/>
        <v>32243.411999999997</v>
      </c>
      <c r="AG357" s="69">
        <f t="shared" si="352"/>
        <v>44530.04</v>
      </c>
      <c r="AH357" s="69">
        <f t="shared" si="352"/>
        <v>45706.104000000007</v>
      </c>
      <c r="AI357" s="69">
        <f t="shared" si="352"/>
        <v>46735.072</v>
      </c>
      <c r="AJ357" s="69">
        <f t="shared" si="352"/>
        <v>47754.807999999997</v>
      </c>
      <c r="AK357" s="69">
        <f t="shared" si="352"/>
        <v>48436.744000000006</v>
      </c>
      <c r="AL357" s="69">
        <f t="shared" si="352"/>
        <v>49801.487999999998</v>
      </c>
      <c r="AN357" s="195" t="s">
        <v>7</v>
      </c>
      <c r="AO357" s="98">
        <f t="shared" ref="AO357:AW357" si="356">H357/H357</f>
        <v>1</v>
      </c>
      <c r="AP357" s="98">
        <f t="shared" si="356"/>
        <v>1</v>
      </c>
      <c r="AQ357" s="98">
        <f t="shared" si="356"/>
        <v>1</v>
      </c>
      <c r="AR357" s="98">
        <f t="shared" si="356"/>
        <v>1</v>
      </c>
      <c r="AS357" s="98">
        <f t="shared" si="356"/>
        <v>1</v>
      </c>
      <c r="AT357" s="98">
        <f t="shared" si="356"/>
        <v>1</v>
      </c>
      <c r="AU357" s="98">
        <f t="shared" si="356"/>
        <v>1</v>
      </c>
      <c r="AV357" s="98">
        <f t="shared" si="356"/>
        <v>1</v>
      </c>
      <c r="AW357" s="98">
        <f t="shared" si="356"/>
        <v>1</v>
      </c>
      <c r="AX357" s="191"/>
      <c r="AY357" s="195" t="s">
        <v>7</v>
      </c>
      <c r="AZ357" s="178">
        <f t="shared" si="349"/>
        <v>1.2E-2</v>
      </c>
      <c r="BA357" s="178">
        <f t="shared" si="349"/>
        <v>6.0000000000000001E-3</v>
      </c>
      <c r="BB357" s="178">
        <f t="shared" si="349"/>
        <v>6.0000000000000001E-3</v>
      </c>
      <c r="BC357" s="178">
        <f t="shared" si="347"/>
        <v>8.0000000000000002E-3</v>
      </c>
      <c r="BD357" s="178">
        <f t="shared" si="347"/>
        <v>8.0000000000000002E-3</v>
      </c>
      <c r="BE357" s="178">
        <f t="shared" si="347"/>
        <v>8.0000000000000002E-3</v>
      </c>
      <c r="BF357" s="178">
        <f t="shared" si="347"/>
        <v>8.0000000000000002E-3</v>
      </c>
      <c r="BG357" s="178">
        <f t="shared" si="347"/>
        <v>8.0000000000000002E-3</v>
      </c>
      <c r="BH357" s="178">
        <f t="shared" si="347"/>
        <v>8.0000000000000002E-3</v>
      </c>
      <c r="BI357" s="191"/>
      <c r="BJ357" s="191"/>
      <c r="BK357" s="191"/>
      <c r="BL357" s="191"/>
      <c r="BM357" s="191"/>
      <c r="BN357" s="191"/>
      <c r="BO357" s="191"/>
      <c r="BP357" s="191"/>
    </row>
    <row r="358" spans="2:68" s="108" customFormat="1" x14ac:dyDescent="0.25">
      <c r="B358" s="107"/>
      <c r="E358" s="109" t="s">
        <v>5</v>
      </c>
      <c r="F358" s="110" t="s">
        <v>64</v>
      </c>
      <c r="G358" s="111" t="s">
        <v>54</v>
      </c>
      <c r="H358" s="112">
        <v>1095334</v>
      </c>
      <c r="I358" s="112">
        <v>1015728</v>
      </c>
      <c r="J358" s="112">
        <v>976151</v>
      </c>
      <c r="K358" s="112">
        <v>947781</v>
      </c>
      <c r="L358" s="112">
        <v>881506</v>
      </c>
      <c r="M358" s="112">
        <v>910350</v>
      </c>
      <c r="N358" s="112">
        <v>835371</v>
      </c>
      <c r="O358" s="112">
        <v>834408</v>
      </c>
      <c r="P358" s="112">
        <v>753394</v>
      </c>
      <c r="R358" s="111" t="s">
        <v>54</v>
      </c>
      <c r="S358" s="220">
        <v>2.2000000000000002</v>
      </c>
      <c r="T358" s="220">
        <v>2.2000000000000002</v>
      </c>
      <c r="U358" s="220">
        <v>2.7</v>
      </c>
      <c r="V358" s="220">
        <v>2.4</v>
      </c>
      <c r="W358" s="220">
        <v>3.1</v>
      </c>
      <c r="X358" s="220">
        <v>2</v>
      </c>
      <c r="Y358" s="220">
        <v>2.9</v>
      </c>
      <c r="Z358" s="220">
        <v>3.8</v>
      </c>
      <c r="AA358" s="220">
        <v>3.8</v>
      </c>
      <c r="AC358" s="111" t="s">
        <v>54</v>
      </c>
      <c r="AD358" s="112">
        <f t="shared" si="319"/>
        <v>48194.696000000004</v>
      </c>
      <c r="AE358" s="112">
        <f t="shared" si="319"/>
        <v>44692.031999999999</v>
      </c>
      <c r="AF358" s="112">
        <f t="shared" si="352"/>
        <v>52712.154000000002</v>
      </c>
      <c r="AG358" s="112">
        <f t="shared" si="352"/>
        <v>45493.487999999998</v>
      </c>
      <c r="AH358" s="112">
        <f t="shared" si="352"/>
        <v>54653.372000000003</v>
      </c>
      <c r="AI358" s="112">
        <f t="shared" si="352"/>
        <v>36414</v>
      </c>
      <c r="AJ358" s="112">
        <f t="shared" si="352"/>
        <v>48451.517999999996</v>
      </c>
      <c r="AK358" s="112">
        <f t="shared" si="352"/>
        <v>63415.008000000002</v>
      </c>
      <c r="AL358" s="112">
        <f t="shared" si="352"/>
        <v>57257.943999999996</v>
      </c>
      <c r="AN358" s="111" t="s">
        <v>54</v>
      </c>
      <c r="AO358" s="113">
        <f t="shared" ref="AO358:AW358" si="357">H358/H357</f>
        <v>0.21772314339286528</v>
      </c>
      <c r="AP358" s="113">
        <f t="shared" si="357"/>
        <v>0.19417290872251436</v>
      </c>
      <c r="AQ358" s="113">
        <f t="shared" si="357"/>
        <v>0.18164659496953983</v>
      </c>
      <c r="AR358" s="113">
        <f t="shared" si="357"/>
        <v>0.17027265189970636</v>
      </c>
      <c r="AS358" s="113">
        <f t="shared" si="357"/>
        <v>0.15429116426112363</v>
      </c>
      <c r="AT358" s="113">
        <f t="shared" si="357"/>
        <v>0.15583157762119207</v>
      </c>
      <c r="AU358" s="113">
        <f t="shared" si="357"/>
        <v>0.13994335397600174</v>
      </c>
      <c r="AV358" s="113">
        <f t="shared" si="357"/>
        <v>0.13781405290165663</v>
      </c>
      <c r="AW358" s="113">
        <f t="shared" si="357"/>
        <v>0.12102353246955191</v>
      </c>
      <c r="AY358" s="111" t="s">
        <v>54</v>
      </c>
      <c r="AZ358" s="179">
        <f t="shared" si="349"/>
        <v>9.5798183092860728E-3</v>
      </c>
      <c r="BA358" s="179">
        <f t="shared" si="349"/>
        <v>8.5436079837906322E-3</v>
      </c>
      <c r="BB358" s="179">
        <f t="shared" si="349"/>
        <v>9.808916128355152E-3</v>
      </c>
      <c r="BC358" s="179">
        <f t="shared" si="347"/>
        <v>8.173087291185906E-3</v>
      </c>
      <c r="BD358" s="179">
        <f t="shared" si="347"/>
        <v>9.5660521841896655E-3</v>
      </c>
      <c r="BE358" s="179">
        <f t="shared" si="347"/>
        <v>6.2332631048476828E-3</v>
      </c>
      <c r="BF358" s="179">
        <f t="shared" si="347"/>
        <v>8.1167145306081014E-3</v>
      </c>
      <c r="BG358" s="179">
        <f t="shared" si="347"/>
        <v>1.0473868020525903E-2</v>
      </c>
      <c r="BH358" s="179">
        <f t="shared" si="347"/>
        <v>9.1977884676859457E-3</v>
      </c>
    </row>
    <row r="359" spans="2:68" s="108" customFormat="1" x14ac:dyDescent="0.25">
      <c r="B359" s="107"/>
      <c r="E359" s="109" t="s">
        <v>5</v>
      </c>
      <c r="F359" s="110" t="s">
        <v>64</v>
      </c>
      <c r="G359" s="111" t="s">
        <v>55</v>
      </c>
      <c r="H359" s="70">
        <v>1004171</v>
      </c>
      <c r="I359" s="70">
        <v>1059497</v>
      </c>
      <c r="J359" s="70">
        <v>1105704</v>
      </c>
      <c r="K359" s="70">
        <v>1109829</v>
      </c>
      <c r="L359" s="70">
        <v>1110039</v>
      </c>
      <c r="M359" s="70">
        <v>1144558</v>
      </c>
      <c r="N359" s="70">
        <v>1127544</v>
      </c>
      <c r="O359" s="112">
        <v>1152626</v>
      </c>
      <c r="P359" s="112">
        <v>1140516</v>
      </c>
      <c r="R359" s="111" t="s">
        <v>55</v>
      </c>
      <c r="S359" s="81">
        <v>2.2000000000000002</v>
      </c>
      <c r="T359" s="81">
        <v>2.2999999999999998</v>
      </c>
      <c r="U359" s="81">
        <v>2.2999999999999998</v>
      </c>
      <c r="V359" s="81">
        <v>2.4</v>
      </c>
      <c r="W359" s="81">
        <v>2.6</v>
      </c>
      <c r="X359" s="81">
        <v>3</v>
      </c>
      <c r="Y359" s="81">
        <v>2</v>
      </c>
      <c r="Z359" s="81">
        <v>3.3</v>
      </c>
      <c r="AA359" s="81">
        <v>3.3</v>
      </c>
      <c r="AC359" s="111" t="s">
        <v>55</v>
      </c>
      <c r="AD359" s="70">
        <f t="shared" si="319"/>
        <v>44183.524000000005</v>
      </c>
      <c r="AE359" s="70">
        <f t="shared" si="319"/>
        <v>48736.861999999994</v>
      </c>
      <c r="AF359" s="70">
        <f t="shared" si="352"/>
        <v>50862.383999999991</v>
      </c>
      <c r="AG359" s="70">
        <f t="shared" si="352"/>
        <v>53271.792000000001</v>
      </c>
      <c r="AH359" s="70">
        <f t="shared" si="352"/>
        <v>57722.027999999998</v>
      </c>
      <c r="AI359" s="70">
        <f t="shared" si="352"/>
        <v>68673.48</v>
      </c>
      <c r="AJ359" s="70">
        <f t="shared" si="352"/>
        <v>45101.760000000002</v>
      </c>
      <c r="AK359" s="70">
        <f t="shared" si="352"/>
        <v>76073.315999999992</v>
      </c>
      <c r="AL359" s="70">
        <f t="shared" si="352"/>
        <v>75274.055999999997</v>
      </c>
      <c r="AN359" s="111" t="s">
        <v>55</v>
      </c>
      <c r="AO359" s="113">
        <f t="shared" ref="AO359:AW359" si="358">H359/H357</f>
        <v>0.19960237390965396</v>
      </c>
      <c r="AP359" s="113">
        <f t="shared" si="358"/>
        <v>0.20254006414392217</v>
      </c>
      <c r="AQ359" s="113">
        <f t="shared" si="358"/>
        <v>0.20575440341115264</v>
      </c>
      <c r="AR359" s="113">
        <f t="shared" si="358"/>
        <v>0.19938522399710398</v>
      </c>
      <c r="AS359" s="113">
        <f t="shared" si="358"/>
        <v>0.19429159833881268</v>
      </c>
      <c r="AT359" s="113">
        <f t="shared" si="358"/>
        <v>0.19592275368699549</v>
      </c>
      <c r="AU359" s="113">
        <f t="shared" si="358"/>
        <v>0.18888887585936898</v>
      </c>
      <c r="AV359" s="113">
        <f t="shared" si="358"/>
        <v>0.19037216869903559</v>
      </c>
      <c r="AW359" s="113">
        <f t="shared" si="358"/>
        <v>0.18320994746181077</v>
      </c>
      <c r="AY359" s="111" t="s">
        <v>55</v>
      </c>
      <c r="AZ359" s="179">
        <f t="shared" si="349"/>
        <v>8.7825044520247753E-3</v>
      </c>
      <c r="BA359" s="179">
        <f t="shared" si="349"/>
        <v>9.316842950620418E-3</v>
      </c>
      <c r="BB359" s="179">
        <f t="shared" si="349"/>
        <v>9.4647025569130211E-3</v>
      </c>
      <c r="BC359" s="179">
        <f t="shared" si="347"/>
        <v>9.5704907518609911E-3</v>
      </c>
      <c r="BD359" s="179">
        <f t="shared" si="347"/>
        <v>1.0103163113618261E-2</v>
      </c>
      <c r="BE359" s="179">
        <f t="shared" si="347"/>
        <v>1.1755365221219729E-2</v>
      </c>
      <c r="BF359" s="179">
        <f t="shared" si="347"/>
        <v>7.5555550343747594E-3</v>
      </c>
      <c r="BG359" s="179">
        <f t="shared" si="347"/>
        <v>1.2564563134136349E-2</v>
      </c>
      <c r="BH359" s="179">
        <f t="shared" si="347"/>
        <v>1.209185653247951E-2</v>
      </c>
    </row>
    <row r="360" spans="2:68" s="108" customFormat="1" x14ac:dyDescent="0.25">
      <c r="B360" s="107"/>
      <c r="E360" s="109" t="s">
        <v>5</v>
      </c>
      <c r="F360" s="110" t="s">
        <v>64</v>
      </c>
      <c r="G360" s="111" t="s">
        <v>130</v>
      </c>
      <c r="H360" s="70">
        <v>611312</v>
      </c>
      <c r="I360" s="70">
        <v>675967</v>
      </c>
      <c r="J360" s="70">
        <v>621435</v>
      </c>
      <c r="K360" s="70">
        <v>560886</v>
      </c>
      <c r="L360" s="70">
        <v>638313</v>
      </c>
      <c r="M360" s="70">
        <v>622410</v>
      </c>
      <c r="N360" s="70">
        <v>681302</v>
      </c>
      <c r="O360" s="112">
        <v>685328</v>
      </c>
      <c r="P360" s="112">
        <v>686072</v>
      </c>
      <c r="R360" s="111" t="s">
        <v>130</v>
      </c>
      <c r="S360" s="220">
        <v>3.2</v>
      </c>
      <c r="T360" s="220">
        <v>3.3</v>
      </c>
      <c r="U360" s="220">
        <v>3.4</v>
      </c>
      <c r="V360" s="220">
        <v>3.6</v>
      </c>
      <c r="W360" s="220">
        <v>3.8</v>
      </c>
      <c r="X360" s="220">
        <v>4.3</v>
      </c>
      <c r="Y360" s="220">
        <v>2.8</v>
      </c>
      <c r="Z360" s="220">
        <v>4.7</v>
      </c>
      <c r="AA360" s="220">
        <v>4.8</v>
      </c>
      <c r="AC360" s="111" t="s">
        <v>130</v>
      </c>
      <c r="AD360" s="70">
        <f t="shared" si="319"/>
        <v>39123.968000000001</v>
      </c>
      <c r="AE360" s="70">
        <f t="shared" si="319"/>
        <v>44613.822</v>
      </c>
      <c r="AF360" s="70">
        <f t="shared" si="352"/>
        <v>42257.58</v>
      </c>
      <c r="AG360" s="70">
        <f t="shared" si="352"/>
        <v>40383.792000000001</v>
      </c>
      <c r="AH360" s="70">
        <f t="shared" si="352"/>
        <v>48511.788</v>
      </c>
      <c r="AI360" s="70">
        <f t="shared" si="352"/>
        <v>53527.26</v>
      </c>
      <c r="AJ360" s="70">
        <f t="shared" si="352"/>
        <v>38152.911999999997</v>
      </c>
      <c r="AK360" s="70">
        <f t="shared" si="352"/>
        <v>64420.832000000002</v>
      </c>
      <c r="AL360" s="70">
        <f t="shared" si="352"/>
        <v>65862.911999999997</v>
      </c>
      <c r="AN360" s="111" t="s">
        <v>130</v>
      </c>
      <c r="AO360" s="113">
        <f t="shared" ref="AO360:AW360" si="359">H360/H357</f>
        <v>0.12151249777125447</v>
      </c>
      <c r="AP360" s="113">
        <f t="shared" si="359"/>
        <v>0.12922207381349324</v>
      </c>
      <c r="AQ360" s="113">
        <f t="shared" si="359"/>
        <v>0.11563943667003976</v>
      </c>
      <c r="AR360" s="113">
        <f t="shared" si="359"/>
        <v>0.10076541588554602</v>
      </c>
      <c r="AS360" s="113">
        <f t="shared" si="359"/>
        <v>0.11172477094087914</v>
      </c>
      <c r="AT360" s="113">
        <f t="shared" si="359"/>
        <v>0.10654268383281831</v>
      </c>
      <c r="AU360" s="113">
        <f t="shared" si="359"/>
        <v>0.11413334548429134</v>
      </c>
      <c r="AV360" s="113">
        <f t="shared" si="359"/>
        <v>0.11319142343671985</v>
      </c>
      <c r="AW360" s="113">
        <f t="shared" si="359"/>
        <v>0.11020907648381911</v>
      </c>
      <c r="AY360" s="111" t="s">
        <v>130</v>
      </c>
      <c r="AZ360" s="179">
        <f t="shared" si="349"/>
        <v>7.776799857360287E-3</v>
      </c>
      <c r="BA360" s="179">
        <f t="shared" si="349"/>
        <v>8.5286568716905539E-3</v>
      </c>
      <c r="BB360" s="179">
        <f t="shared" si="349"/>
        <v>7.8634816935627041E-3</v>
      </c>
      <c r="BC360" s="179">
        <f t="shared" si="347"/>
        <v>7.2551099437593138E-3</v>
      </c>
      <c r="BD360" s="179">
        <f t="shared" si="347"/>
        <v>8.4910825915068145E-3</v>
      </c>
      <c r="BE360" s="179">
        <f t="shared" si="347"/>
        <v>9.1626708096223738E-3</v>
      </c>
      <c r="BF360" s="179">
        <f t="shared" si="347"/>
        <v>6.3914673471203139E-3</v>
      </c>
      <c r="BG360" s="179">
        <f t="shared" si="347"/>
        <v>1.0639993803051665E-2</v>
      </c>
      <c r="BH360" s="179">
        <f t="shared" si="347"/>
        <v>1.0580071342446635E-2</v>
      </c>
    </row>
    <row r="361" spans="2:68" s="108" customFormat="1" x14ac:dyDescent="0.25">
      <c r="B361" s="107"/>
      <c r="E361" s="109" t="s">
        <v>5</v>
      </c>
      <c r="F361" s="110" t="s">
        <v>64</v>
      </c>
      <c r="G361" s="111" t="s">
        <v>131</v>
      </c>
      <c r="H361" s="112">
        <v>2312136</v>
      </c>
      <c r="I361" s="112">
        <v>2440669</v>
      </c>
      <c r="J361" s="112">
        <v>2609258</v>
      </c>
      <c r="K361" s="112">
        <v>2913830</v>
      </c>
      <c r="L361" s="112">
        <v>3043980</v>
      </c>
      <c r="M361" s="112">
        <v>3099542</v>
      </c>
      <c r="N361" s="112">
        <v>3253212</v>
      </c>
      <c r="O361" s="112">
        <v>3382231</v>
      </c>
      <c r="P361" s="112">
        <v>3645204</v>
      </c>
      <c r="R361" s="111" t="s">
        <v>131</v>
      </c>
      <c r="S361" s="220">
        <v>1.5</v>
      </c>
      <c r="T361" s="220">
        <v>1.2</v>
      </c>
      <c r="U361" s="220">
        <v>1.2</v>
      </c>
      <c r="V361" s="220">
        <v>1.2</v>
      </c>
      <c r="W361" s="220">
        <v>1</v>
      </c>
      <c r="X361" s="220">
        <v>1.3</v>
      </c>
      <c r="Y361" s="220">
        <v>1.1000000000000001</v>
      </c>
      <c r="Z361" s="220">
        <v>1.7</v>
      </c>
      <c r="AA361" s="220">
        <v>1.8</v>
      </c>
      <c r="AC361" s="111" t="s">
        <v>131</v>
      </c>
      <c r="AD361" s="112">
        <f t="shared" si="319"/>
        <v>69364.08</v>
      </c>
      <c r="AE361" s="112">
        <f t="shared" si="319"/>
        <v>58576.055999999997</v>
      </c>
      <c r="AF361" s="112">
        <f t="shared" si="352"/>
        <v>62622.192000000003</v>
      </c>
      <c r="AG361" s="112">
        <f t="shared" si="352"/>
        <v>69931.92</v>
      </c>
      <c r="AH361" s="112">
        <f t="shared" si="352"/>
        <v>60879.6</v>
      </c>
      <c r="AI361" s="112">
        <f t="shared" si="352"/>
        <v>80588.092000000004</v>
      </c>
      <c r="AJ361" s="112">
        <f t="shared" si="352"/>
        <v>71570.664000000004</v>
      </c>
      <c r="AK361" s="112">
        <f t="shared" si="352"/>
        <v>114995.85400000001</v>
      </c>
      <c r="AL361" s="112">
        <f t="shared" si="352"/>
        <v>131227.34400000001</v>
      </c>
      <c r="AN361" s="111" t="s">
        <v>131</v>
      </c>
      <c r="AO361" s="113">
        <f t="shared" ref="AO361:AW361" si="360">H361/H357</f>
        <v>0.45959088083799637</v>
      </c>
      <c r="AP361" s="113">
        <f t="shared" si="360"/>
        <v>0.46657353047161287</v>
      </c>
      <c r="AQ361" s="113">
        <f t="shared" si="360"/>
        <v>0.4855425350145946</v>
      </c>
      <c r="AR361" s="113">
        <f t="shared" si="360"/>
        <v>0.5234812275039501</v>
      </c>
      <c r="AS361" s="113">
        <f t="shared" si="360"/>
        <v>0.53279185642250326</v>
      </c>
      <c r="AT361" s="113">
        <f t="shared" si="360"/>
        <v>0.53057232906370611</v>
      </c>
      <c r="AU361" s="113">
        <f t="shared" si="360"/>
        <v>0.5449858786993762</v>
      </c>
      <c r="AV361" s="113">
        <f t="shared" si="360"/>
        <v>0.55862235496258794</v>
      </c>
      <c r="AW361" s="113">
        <f t="shared" si="360"/>
        <v>0.5855574435848182</v>
      </c>
      <c r="AY361" s="111" t="s">
        <v>131</v>
      </c>
      <c r="AZ361" s="179">
        <f t="shared" si="349"/>
        <v>1.3787726425139892E-2</v>
      </c>
      <c r="BA361" s="179">
        <f t="shared" si="349"/>
        <v>1.1197764731318709E-2</v>
      </c>
      <c r="BB361" s="179">
        <f t="shared" si="349"/>
        <v>1.165302084035027E-2</v>
      </c>
      <c r="BC361" s="179">
        <f t="shared" si="347"/>
        <v>1.2563549460094803E-2</v>
      </c>
      <c r="BD361" s="179">
        <f t="shared" si="347"/>
        <v>1.0655837128450064E-2</v>
      </c>
      <c r="BE361" s="179">
        <f t="shared" si="347"/>
        <v>1.3794880555656358E-2</v>
      </c>
      <c r="BF361" s="179">
        <f t="shared" si="347"/>
        <v>1.1989689331386277E-2</v>
      </c>
      <c r="BG361" s="179">
        <f t="shared" si="347"/>
        <v>1.8993160068727991E-2</v>
      </c>
      <c r="BH361" s="179">
        <f t="shared" si="347"/>
        <v>2.1080067969053456E-2</v>
      </c>
    </row>
    <row r="362" spans="2:68" x14ac:dyDescent="0.3">
      <c r="H362" s="122" t="s">
        <v>122</v>
      </c>
      <c r="I362" s="121">
        <v>2003</v>
      </c>
      <c r="J362" s="121">
        <v>2005</v>
      </c>
      <c r="K362" s="122" t="s">
        <v>123</v>
      </c>
      <c r="L362" s="122" t="s">
        <v>124</v>
      </c>
      <c r="M362" s="122" t="s">
        <v>125</v>
      </c>
      <c r="N362" s="122" t="s">
        <v>126</v>
      </c>
      <c r="O362" s="122" t="s">
        <v>127</v>
      </c>
      <c r="P362" s="122" t="s">
        <v>128</v>
      </c>
      <c r="R362" s="111"/>
      <c r="S362" s="120" t="s">
        <v>122</v>
      </c>
      <c r="T362" s="121">
        <v>2003</v>
      </c>
      <c r="U362" s="121">
        <v>2005</v>
      </c>
      <c r="V362" s="122" t="s">
        <v>123</v>
      </c>
      <c r="W362" s="122" t="s">
        <v>124</v>
      </c>
      <c r="X362" s="122" t="s">
        <v>125</v>
      </c>
      <c r="Y362" s="122" t="s">
        <v>126</v>
      </c>
      <c r="Z362" s="122" t="s">
        <v>127</v>
      </c>
      <c r="AA362" s="122" t="s">
        <v>128</v>
      </c>
      <c r="AC362" s="197" t="s">
        <v>8</v>
      </c>
      <c r="AD362" s="120" t="s">
        <v>122</v>
      </c>
      <c r="AE362" s="121">
        <v>2003</v>
      </c>
      <c r="AF362" s="121">
        <v>2005</v>
      </c>
      <c r="AG362" s="122" t="s">
        <v>123</v>
      </c>
      <c r="AH362" s="122" t="s">
        <v>124</v>
      </c>
      <c r="AI362" s="122" t="s">
        <v>125</v>
      </c>
      <c r="AJ362" s="122" t="s">
        <v>126</v>
      </c>
      <c r="AK362" s="122" t="s">
        <v>127</v>
      </c>
      <c r="AL362" s="122" t="s">
        <v>128</v>
      </c>
      <c r="AN362" s="197" t="s">
        <v>8</v>
      </c>
      <c r="AO362" s="120" t="s">
        <v>122</v>
      </c>
      <c r="AP362" s="121">
        <v>2003</v>
      </c>
      <c r="AQ362" s="121">
        <v>2005</v>
      </c>
      <c r="AR362" s="122" t="s">
        <v>123</v>
      </c>
      <c r="AS362" s="122" t="s">
        <v>124</v>
      </c>
      <c r="AT362" s="122" t="s">
        <v>125</v>
      </c>
      <c r="AU362" s="122" t="s">
        <v>126</v>
      </c>
      <c r="AV362" s="122" t="s">
        <v>127</v>
      </c>
      <c r="AW362" s="122" t="s">
        <v>128</v>
      </c>
      <c r="AY362" s="197" t="s">
        <v>8</v>
      </c>
      <c r="AZ362" s="120" t="s">
        <v>122</v>
      </c>
      <c r="BA362" s="121">
        <v>2003</v>
      </c>
      <c r="BB362" s="121">
        <v>2005</v>
      </c>
      <c r="BC362" s="122" t="s">
        <v>123</v>
      </c>
      <c r="BD362" s="122" t="s">
        <v>124</v>
      </c>
      <c r="BE362" s="122" t="s">
        <v>125</v>
      </c>
      <c r="BF362" s="122" t="s">
        <v>126</v>
      </c>
      <c r="BG362" s="122" t="s">
        <v>127</v>
      </c>
      <c r="BH362" s="122" t="s">
        <v>128</v>
      </c>
    </row>
    <row r="363" spans="2:68" s="87" customFormat="1" x14ac:dyDescent="0.25">
      <c r="B363" s="84"/>
      <c r="C363" s="85"/>
      <c r="D363" s="85"/>
      <c r="E363" s="109" t="s">
        <v>0</v>
      </c>
      <c r="F363" s="110" t="s">
        <v>65</v>
      </c>
      <c r="G363" s="195" t="s">
        <v>7</v>
      </c>
      <c r="H363" s="69">
        <v>120705</v>
      </c>
      <c r="I363" s="69">
        <v>122666</v>
      </c>
      <c r="J363" s="69">
        <v>123946</v>
      </c>
      <c r="K363" s="69">
        <v>124022</v>
      </c>
      <c r="L363" s="69">
        <v>125421</v>
      </c>
      <c r="M363" s="69">
        <v>124040</v>
      </c>
      <c r="N363" s="69">
        <v>122661</v>
      </c>
      <c r="O363" s="69">
        <v>123448</v>
      </c>
      <c r="P363" s="69">
        <v>119324</v>
      </c>
      <c r="R363" s="195" t="s">
        <v>7</v>
      </c>
      <c r="S363" s="226">
        <v>1.6</v>
      </c>
      <c r="T363" s="226">
        <v>1.6</v>
      </c>
      <c r="U363" s="226">
        <v>1.8</v>
      </c>
      <c r="V363" s="226">
        <v>1.9</v>
      </c>
      <c r="W363" s="226">
        <v>1.8</v>
      </c>
      <c r="X363" s="226">
        <v>2</v>
      </c>
      <c r="Y363" s="226">
        <v>1.9</v>
      </c>
      <c r="Z363" s="226">
        <v>2</v>
      </c>
      <c r="AA363" s="226">
        <v>1.9</v>
      </c>
      <c r="AC363" s="195" t="s">
        <v>7</v>
      </c>
      <c r="AD363" s="69">
        <f>2*(H363*S363/100)</f>
        <v>3862.56</v>
      </c>
      <c r="AE363" s="69">
        <f t="shared" ref="AE363:AL395" si="361">2*(I363*T363/100)</f>
        <v>3925.3119999999999</v>
      </c>
      <c r="AF363" s="69">
        <f t="shared" si="361"/>
        <v>4462.0560000000005</v>
      </c>
      <c r="AG363" s="69">
        <f t="shared" si="361"/>
        <v>4712.8359999999993</v>
      </c>
      <c r="AH363" s="69">
        <f t="shared" si="361"/>
        <v>4515.1559999999999</v>
      </c>
      <c r="AI363" s="69">
        <f t="shared" si="361"/>
        <v>4961.6000000000004</v>
      </c>
      <c r="AJ363" s="69">
        <f t="shared" si="361"/>
        <v>4661.1179999999995</v>
      </c>
      <c r="AK363" s="69">
        <f>2*(O363*Z363/100)</f>
        <v>4937.92</v>
      </c>
      <c r="AL363" s="69">
        <f>2*(P363*AA363/100)</f>
        <v>4534.3119999999999</v>
      </c>
      <c r="AN363" s="195" t="s">
        <v>7</v>
      </c>
      <c r="AO363" s="98">
        <f t="shared" ref="AO363:AW363" si="362">H363/H363</f>
        <v>1</v>
      </c>
      <c r="AP363" s="98">
        <f t="shared" si="362"/>
        <v>1</v>
      </c>
      <c r="AQ363" s="98">
        <f t="shared" si="362"/>
        <v>1</v>
      </c>
      <c r="AR363" s="98">
        <f t="shared" si="362"/>
        <v>1</v>
      </c>
      <c r="AS363" s="98">
        <f t="shared" si="362"/>
        <v>1</v>
      </c>
      <c r="AT363" s="98">
        <f t="shared" si="362"/>
        <v>1</v>
      </c>
      <c r="AU363" s="98">
        <f t="shared" si="362"/>
        <v>1</v>
      </c>
      <c r="AV363" s="98">
        <f t="shared" si="362"/>
        <v>1</v>
      </c>
      <c r="AW363" s="98">
        <f t="shared" si="362"/>
        <v>1</v>
      </c>
      <c r="AX363" s="191"/>
      <c r="AY363" s="195" t="s">
        <v>7</v>
      </c>
      <c r="AZ363" s="178">
        <f t="shared" ref="AZ363:BH391" si="363">2*(S363*AO363/100)</f>
        <v>3.2000000000000001E-2</v>
      </c>
      <c r="BA363" s="178">
        <f t="shared" si="363"/>
        <v>3.2000000000000001E-2</v>
      </c>
      <c r="BB363" s="178">
        <f t="shared" si="363"/>
        <v>3.6000000000000004E-2</v>
      </c>
      <c r="BC363" s="178">
        <f t="shared" si="363"/>
        <v>3.7999999999999999E-2</v>
      </c>
      <c r="BD363" s="178">
        <f t="shared" si="363"/>
        <v>3.6000000000000004E-2</v>
      </c>
      <c r="BE363" s="178">
        <f t="shared" si="363"/>
        <v>0.04</v>
      </c>
      <c r="BF363" s="178">
        <f t="shared" si="363"/>
        <v>3.7999999999999999E-2</v>
      </c>
      <c r="BG363" s="178">
        <f t="shared" si="363"/>
        <v>0.04</v>
      </c>
      <c r="BH363" s="178">
        <f t="shared" si="363"/>
        <v>3.7999999999999999E-2</v>
      </c>
      <c r="BI363" s="191"/>
      <c r="BJ363" s="191"/>
      <c r="BK363" s="191"/>
      <c r="BL363" s="191"/>
      <c r="BM363" s="191"/>
      <c r="BN363" s="191"/>
      <c r="BO363" s="191"/>
      <c r="BP363" s="191"/>
    </row>
    <row r="364" spans="2:68" s="108" customFormat="1" x14ac:dyDescent="0.25">
      <c r="B364" s="107"/>
      <c r="E364" s="109" t="s">
        <v>0</v>
      </c>
      <c r="F364" s="110" t="s">
        <v>65</v>
      </c>
      <c r="G364" s="111" t="s">
        <v>54</v>
      </c>
      <c r="H364" s="112">
        <v>23945</v>
      </c>
      <c r="I364" s="112">
        <v>17275</v>
      </c>
      <c r="J364" s="112">
        <v>12343</v>
      </c>
      <c r="K364" s="112">
        <v>16987</v>
      </c>
      <c r="L364" s="112">
        <v>12509</v>
      </c>
      <c r="M364" s="112">
        <v>12798</v>
      </c>
      <c r="N364" s="112">
        <v>7524</v>
      </c>
      <c r="O364" s="112">
        <v>8715</v>
      </c>
      <c r="P364" s="112">
        <v>5168</v>
      </c>
      <c r="R364" s="111" t="s">
        <v>54</v>
      </c>
      <c r="S364" s="220">
        <v>9.5</v>
      </c>
      <c r="T364" s="220">
        <v>14.2</v>
      </c>
      <c r="U364" s="220">
        <v>14.8</v>
      </c>
      <c r="V364" s="220">
        <v>14</v>
      </c>
      <c r="W364" s="220">
        <v>18.100000000000001</v>
      </c>
      <c r="X364" s="220">
        <v>19.3</v>
      </c>
      <c r="Y364" s="220">
        <v>24.3</v>
      </c>
      <c r="Z364" s="220">
        <v>22</v>
      </c>
      <c r="AA364" s="220">
        <v>29.7</v>
      </c>
      <c r="AC364" s="111" t="s">
        <v>54</v>
      </c>
      <c r="AD364" s="112">
        <f>2*(H364*S364/100)</f>
        <v>4549.55</v>
      </c>
      <c r="AE364" s="112">
        <f t="shared" si="361"/>
        <v>4906.1000000000004</v>
      </c>
      <c r="AF364" s="112">
        <f t="shared" si="361"/>
        <v>3653.5280000000002</v>
      </c>
      <c r="AG364" s="112">
        <f t="shared" si="361"/>
        <v>4756.3599999999997</v>
      </c>
      <c r="AH364" s="112">
        <f t="shared" si="361"/>
        <v>4528.2580000000007</v>
      </c>
      <c r="AI364" s="112">
        <f t="shared" si="361"/>
        <v>4940.0280000000002</v>
      </c>
      <c r="AJ364" s="112">
        <f t="shared" si="361"/>
        <v>3656.6640000000002</v>
      </c>
      <c r="AK364" s="112">
        <f t="shared" si="361"/>
        <v>3834.6</v>
      </c>
      <c r="AL364" s="112">
        <f t="shared" si="361"/>
        <v>3069.7919999999999</v>
      </c>
      <c r="AN364" s="111" t="s">
        <v>54</v>
      </c>
      <c r="AO364" s="113">
        <f t="shared" ref="AO364:AW364" si="364">H364/H363</f>
        <v>0.19837620645375087</v>
      </c>
      <c r="AP364" s="113">
        <f t="shared" si="364"/>
        <v>0.14082956972592242</v>
      </c>
      <c r="AQ364" s="113">
        <f t="shared" si="364"/>
        <v>9.958368967130847E-2</v>
      </c>
      <c r="AR364" s="113">
        <f t="shared" si="364"/>
        <v>0.13696763477447549</v>
      </c>
      <c r="AS364" s="113">
        <f t="shared" si="364"/>
        <v>9.9736088852743959E-2</v>
      </c>
      <c r="AT364" s="113">
        <f t="shared" si="364"/>
        <v>0.10317639471138343</v>
      </c>
      <c r="AU364" s="113">
        <f t="shared" si="364"/>
        <v>6.1339790153349477E-2</v>
      </c>
      <c r="AV364" s="113">
        <f t="shared" si="364"/>
        <v>7.0596526472684856E-2</v>
      </c>
      <c r="AW364" s="113">
        <f t="shared" si="364"/>
        <v>4.3310649994971674E-2</v>
      </c>
      <c r="AY364" s="111" t="s">
        <v>54</v>
      </c>
      <c r="AZ364" s="179">
        <f t="shared" si="363"/>
        <v>3.7691479226212667E-2</v>
      </c>
      <c r="BA364" s="179">
        <f t="shared" si="363"/>
        <v>3.999559780216197E-2</v>
      </c>
      <c r="BB364" s="179">
        <f t="shared" si="363"/>
        <v>2.947677214270731E-2</v>
      </c>
      <c r="BC364" s="179">
        <f t="shared" si="363"/>
        <v>3.8350937736853136E-2</v>
      </c>
      <c r="BD364" s="179">
        <f t="shared" si="363"/>
        <v>3.6104464164693317E-2</v>
      </c>
      <c r="BE364" s="179">
        <f t="shared" si="363"/>
        <v>3.9826088358594004E-2</v>
      </c>
      <c r="BF364" s="179">
        <f t="shared" si="363"/>
        <v>2.9811138014527849E-2</v>
      </c>
      <c r="BG364" s="179">
        <f t="shared" si="363"/>
        <v>3.1062471647981336E-2</v>
      </c>
      <c r="BH364" s="179">
        <f t="shared" si="363"/>
        <v>2.5726526097013175E-2</v>
      </c>
    </row>
    <row r="365" spans="2:68" s="108" customFormat="1" x14ac:dyDescent="0.25">
      <c r="B365" s="107"/>
      <c r="E365" s="109" t="s">
        <v>0</v>
      </c>
      <c r="F365" s="110" t="s">
        <v>65</v>
      </c>
      <c r="G365" s="111" t="s">
        <v>55</v>
      </c>
      <c r="H365" s="70">
        <v>3158</v>
      </c>
      <c r="I365" s="70">
        <v>3443</v>
      </c>
      <c r="J365" s="112" t="s">
        <v>129</v>
      </c>
      <c r="K365" s="112" t="s">
        <v>129</v>
      </c>
      <c r="L365" s="112" t="s">
        <v>129</v>
      </c>
      <c r="M365" s="112" t="s">
        <v>129</v>
      </c>
      <c r="N365" s="112" t="s">
        <v>129</v>
      </c>
      <c r="O365" s="112" t="s">
        <v>129</v>
      </c>
      <c r="P365" s="112" t="s">
        <v>129</v>
      </c>
      <c r="R365" s="111" t="s">
        <v>55</v>
      </c>
      <c r="S365" s="81">
        <v>29.2</v>
      </c>
      <c r="T365" s="81">
        <v>35.200000000000003</v>
      </c>
      <c r="U365" s="81" t="s">
        <v>129</v>
      </c>
      <c r="V365" s="81" t="s">
        <v>129</v>
      </c>
      <c r="W365" s="81" t="s">
        <v>129</v>
      </c>
      <c r="X365" s="81" t="s">
        <v>129</v>
      </c>
      <c r="Y365" s="81" t="s">
        <v>129</v>
      </c>
      <c r="Z365" s="81" t="s">
        <v>129</v>
      </c>
      <c r="AA365" s="81" t="s">
        <v>129</v>
      </c>
      <c r="AC365" s="111" t="s">
        <v>55</v>
      </c>
      <c r="AD365" s="70">
        <f t="shared" ref="AD365:AE402" si="365">2*(H365*S365/100)</f>
        <v>1844.2719999999999</v>
      </c>
      <c r="AE365" s="70">
        <f t="shared" si="361"/>
        <v>2423.8720000000003</v>
      </c>
      <c r="AF365" s="70" t="e">
        <f t="shared" si="361"/>
        <v>#VALUE!</v>
      </c>
      <c r="AG365" s="70" t="e">
        <f t="shared" si="361"/>
        <v>#VALUE!</v>
      </c>
      <c r="AH365" s="70" t="e">
        <f t="shared" si="361"/>
        <v>#VALUE!</v>
      </c>
      <c r="AI365" s="70" t="e">
        <f t="shared" si="361"/>
        <v>#VALUE!</v>
      </c>
      <c r="AJ365" s="70" t="e">
        <f t="shared" si="361"/>
        <v>#VALUE!</v>
      </c>
      <c r="AK365" s="70" t="e">
        <f t="shared" si="361"/>
        <v>#VALUE!</v>
      </c>
      <c r="AL365" s="70" t="e">
        <f t="shared" si="361"/>
        <v>#VALUE!</v>
      </c>
      <c r="AN365" s="111" t="s">
        <v>55</v>
      </c>
      <c r="AO365" s="113">
        <f t="shared" ref="AO365:AW365" si="366">H365/H363</f>
        <v>2.6162959280891431E-2</v>
      </c>
      <c r="AP365" s="113">
        <f t="shared" si="366"/>
        <v>2.8068087326561558E-2</v>
      </c>
      <c r="AQ365" s="113" t="e">
        <f t="shared" si="366"/>
        <v>#VALUE!</v>
      </c>
      <c r="AR365" s="113" t="e">
        <f t="shared" si="366"/>
        <v>#VALUE!</v>
      </c>
      <c r="AS365" s="113" t="e">
        <f t="shared" si="366"/>
        <v>#VALUE!</v>
      </c>
      <c r="AT365" s="113" t="e">
        <f t="shared" si="366"/>
        <v>#VALUE!</v>
      </c>
      <c r="AU365" s="113" t="e">
        <f t="shared" si="366"/>
        <v>#VALUE!</v>
      </c>
      <c r="AV365" s="113" t="e">
        <f t="shared" si="366"/>
        <v>#VALUE!</v>
      </c>
      <c r="AW365" s="113" t="e">
        <f t="shared" si="366"/>
        <v>#VALUE!</v>
      </c>
      <c r="AY365" s="111" t="s">
        <v>55</v>
      </c>
      <c r="AZ365" s="179">
        <f t="shared" si="363"/>
        <v>1.5279168220040596E-2</v>
      </c>
      <c r="BA365" s="179">
        <f t="shared" si="363"/>
        <v>1.9759933477899339E-2</v>
      </c>
      <c r="BB365" s="179" t="e">
        <f t="shared" si="363"/>
        <v>#VALUE!</v>
      </c>
      <c r="BC365" s="179" t="e">
        <f t="shared" si="363"/>
        <v>#VALUE!</v>
      </c>
      <c r="BD365" s="179" t="e">
        <f t="shared" si="363"/>
        <v>#VALUE!</v>
      </c>
      <c r="BE365" s="179" t="e">
        <f t="shared" si="363"/>
        <v>#VALUE!</v>
      </c>
      <c r="BF365" s="179" t="e">
        <f t="shared" si="363"/>
        <v>#VALUE!</v>
      </c>
      <c r="BG365" s="179" t="e">
        <f t="shared" si="363"/>
        <v>#VALUE!</v>
      </c>
      <c r="BH365" s="179" t="e">
        <f t="shared" si="363"/>
        <v>#VALUE!</v>
      </c>
    </row>
    <row r="366" spans="2:68" s="108" customFormat="1" x14ac:dyDescent="0.25">
      <c r="B366" s="107"/>
      <c r="E366" s="109" t="s">
        <v>0</v>
      </c>
      <c r="F366" s="110" t="s">
        <v>65</v>
      </c>
      <c r="G366" s="111" t="s">
        <v>130</v>
      </c>
      <c r="H366" s="70">
        <v>12909</v>
      </c>
      <c r="I366" s="70">
        <v>12090</v>
      </c>
      <c r="J366" s="70">
        <v>7971</v>
      </c>
      <c r="K366" s="70">
        <v>8687</v>
      </c>
      <c r="L366" s="70">
        <v>8484</v>
      </c>
      <c r="M366" s="70">
        <v>8296</v>
      </c>
      <c r="N366" s="70">
        <v>7170</v>
      </c>
      <c r="O366" s="112" t="s">
        <v>129</v>
      </c>
      <c r="P366" s="112">
        <v>8983</v>
      </c>
      <c r="R366" s="111" t="s">
        <v>130</v>
      </c>
      <c r="S366" s="220">
        <v>14</v>
      </c>
      <c r="T366" s="220">
        <v>16.899999999999999</v>
      </c>
      <c r="U366" s="220">
        <v>21.1</v>
      </c>
      <c r="V366" s="220">
        <v>20.3</v>
      </c>
      <c r="W366" s="220">
        <v>23.8</v>
      </c>
      <c r="X366" s="220">
        <v>24.3</v>
      </c>
      <c r="Y366" s="220">
        <v>24.3</v>
      </c>
      <c r="Z366" s="220" t="s">
        <v>129</v>
      </c>
      <c r="AA366" s="220">
        <v>23.1</v>
      </c>
      <c r="AC366" s="111" t="s">
        <v>130</v>
      </c>
      <c r="AD366" s="70">
        <f t="shared" si="365"/>
        <v>3614.52</v>
      </c>
      <c r="AE366" s="70">
        <f t="shared" si="361"/>
        <v>4086.4199999999996</v>
      </c>
      <c r="AF366" s="70">
        <f t="shared" si="361"/>
        <v>3363.7620000000002</v>
      </c>
      <c r="AG366" s="70">
        <f t="shared" si="361"/>
        <v>3526.922</v>
      </c>
      <c r="AH366" s="70">
        <f t="shared" si="361"/>
        <v>4038.384</v>
      </c>
      <c r="AI366" s="70">
        <f t="shared" si="361"/>
        <v>4031.8560000000002</v>
      </c>
      <c r="AJ366" s="70">
        <f t="shared" si="361"/>
        <v>3484.62</v>
      </c>
      <c r="AK366" s="70" t="e">
        <f t="shared" si="361"/>
        <v>#VALUE!</v>
      </c>
      <c r="AL366" s="70">
        <f t="shared" si="361"/>
        <v>4150.1460000000006</v>
      </c>
      <c r="AN366" s="111" t="s">
        <v>130</v>
      </c>
      <c r="AO366" s="113">
        <f t="shared" ref="AO366:AW366" si="367">H366/H363</f>
        <v>0.10694668820678514</v>
      </c>
      <c r="AP366" s="113">
        <f t="shared" si="367"/>
        <v>9.8560318262599256E-2</v>
      </c>
      <c r="AQ366" s="113">
        <f t="shared" si="367"/>
        <v>6.431026414728995E-2</v>
      </c>
      <c r="AR366" s="113">
        <f t="shared" si="367"/>
        <v>7.0044024447275477E-2</v>
      </c>
      <c r="AS366" s="113">
        <f t="shared" si="367"/>
        <v>6.7644174420551581E-2</v>
      </c>
      <c r="AT366" s="113">
        <f t="shared" si="367"/>
        <v>6.6881651080296672E-2</v>
      </c>
      <c r="AU366" s="113">
        <f t="shared" si="367"/>
        <v>5.8453787267346589E-2</v>
      </c>
      <c r="AV366" s="113" t="e">
        <f t="shared" si="367"/>
        <v>#VALUE!</v>
      </c>
      <c r="AW366" s="113">
        <f t="shared" si="367"/>
        <v>7.5282424323690117E-2</v>
      </c>
      <c r="AY366" s="111" t="s">
        <v>130</v>
      </c>
      <c r="AZ366" s="179">
        <f t="shared" si="363"/>
        <v>2.9945072697899842E-2</v>
      </c>
      <c r="BA366" s="179">
        <f t="shared" si="363"/>
        <v>3.3313387572758549E-2</v>
      </c>
      <c r="BB366" s="179">
        <f t="shared" si="363"/>
        <v>2.7138931470156363E-2</v>
      </c>
      <c r="BC366" s="179">
        <f t="shared" si="363"/>
        <v>2.8437873925593844E-2</v>
      </c>
      <c r="BD366" s="179">
        <f t="shared" si="363"/>
        <v>3.2198627024182552E-2</v>
      </c>
      <c r="BE366" s="179">
        <f t="shared" si="363"/>
        <v>3.2504482425024184E-2</v>
      </c>
      <c r="BF366" s="179">
        <f t="shared" si="363"/>
        <v>2.8408540611930443E-2</v>
      </c>
      <c r="BG366" s="179" t="e">
        <f t="shared" si="363"/>
        <v>#VALUE!</v>
      </c>
      <c r="BH366" s="179">
        <f t="shared" si="363"/>
        <v>3.4780480037544838E-2</v>
      </c>
    </row>
    <row r="367" spans="2:68" s="108" customFormat="1" x14ac:dyDescent="0.25">
      <c r="B367" s="107"/>
      <c r="E367" s="109" t="s">
        <v>0</v>
      </c>
      <c r="F367" s="110" t="s">
        <v>65</v>
      </c>
      <c r="G367" s="111" t="s">
        <v>131</v>
      </c>
      <c r="H367" s="112">
        <v>80693</v>
      </c>
      <c r="I367" s="112">
        <v>89558</v>
      </c>
      <c r="J367" s="112">
        <v>100713</v>
      </c>
      <c r="K367" s="112">
        <v>94826</v>
      </c>
      <c r="L367" s="112">
        <v>101354</v>
      </c>
      <c r="M367" s="112">
        <v>100583</v>
      </c>
      <c r="N367" s="112">
        <v>106319</v>
      </c>
      <c r="O367" s="112">
        <v>108097</v>
      </c>
      <c r="P367" s="112">
        <v>104890</v>
      </c>
      <c r="R367" s="111" t="s">
        <v>131</v>
      </c>
      <c r="S367" s="220">
        <v>5.4</v>
      </c>
      <c r="T367" s="220">
        <v>3.7</v>
      </c>
      <c r="U367" s="220">
        <v>3.6</v>
      </c>
      <c r="V367" s="220">
        <v>3.4</v>
      </c>
      <c r="W367" s="220">
        <v>3.8</v>
      </c>
      <c r="X367" s="220">
        <v>2.7</v>
      </c>
      <c r="Y367" s="220">
        <v>3.2</v>
      </c>
      <c r="Z367" s="220">
        <v>2</v>
      </c>
      <c r="AA367" s="220">
        <v>3.7</v>
      </c>
      <c r="AC367" s="111" t="s">
        <v>131</v>
      </c>
      <c r="AD367" s="112">
        <f t="shared" si="365"/>
        <v>8714.844000000001</v>
      </c>
      <c r="AE367" s="112">
        <f t="shared" si="361"/>
        <v>6627.2920000000004</v>
      </c>
      <c r="AF367" s="112">
        <f t="shared" si="361"/>
        <v>7251.3359999999993</v>
      </c>
      <c r="AG367" s="112">
        <f t="shared" si="361"/>
        <v>6448.1679999999997</v>
      </c>
      <c r="AH367" s="112">
        <f t="shared" si="361"/>
        <v>7702.9039999999986</v>
      </c>
      <c r="AI367" s="112">
        <f t="shared" si="361"/>
        <v>5431.4820000000009</v>
      </c>
      <c r="AJ367" s="112">
        <f t="shared" si="361"/>
        <v>6804.4160000000011</v>
      </c>
      <c r="AK367" s="112">
        <f t="shared" si="361"/>
        <v>4323.88</v>
      </c>
      <c r="AL367" s="112">
        <f t="shared" si="361"/>
        <v>7761.86</v>
      </c>
      <c r="AN367" s="111" t="s">
        <v>131</v>
      </c>
      <c r="AO367" s="113">
        <f t="shared" ref="AO367:AW367" si="368">H367/H363</f>
        <v>0.66851414605857251</v>
      </c>
      <c r="AP367" s="113">
        <f t="shared" si="368"/>
        <v>0.73009635921934357</v>
      </c>
      <c r="AQ367" s="113">
        <f t="shared" si="368"/>
        <v>0.81255546770367737</v>
      </c>
      <c r="AR367" s="113">
        <f t="shared" si="368"/>
        <v>0.76459015335988778</v>
      </c>
      <c r="AS367" s="113">
        <f t="shared" si="368"/>
        <v>0.8081102845615965</v>
      </c>
      <c r="AT367" s="113">
        <f t="shared" si="368"/>
        <v>0.81089164785553047</v>
      </c>
      <c r="AU367" s="113">
        <f t="shared" si="368"/>
        <v>0.86677101931339218</v>
      </c>
      <c r="AV367" s="113">
        <f t="shared" si="368"/>
        <v>0.87564804614088521</v>
      </c>
      <c r="AW367" s="113">
        <f t="shared" si="368"/>
        <v>0.87903523180583953</v>
      </c>
      <c r="AY367" s="111" t="s">
        <v>131</v>
      </c>
      <c r="AZ367" s="179">
        <f t="shared" si="363"/>
        <v>7.2199527774325839E-2</v>
      </c>
      <c r="BA367" s="179">
        <f t="shared" si="363"/>
        <v>5.4027130582231429E-2</v>
      </c>
      <c r="BB367" s="179">
        <f t="shared" si="363"/>
        <v>5.8503993674664773E-2</v>
      </c>
      <c r="BC367" s="179">
        <f t="shared" si="363"/>
        <v>5.1992130428472373E-2</v>
      </c>
      <c r="BD367" s="179">
        <f t="shared" si="363"/>
        <v>6.1416381626681338E-2</v>
      </c>
      <c r="BE367" s="179">
        <f t="shared" si="363"/>
        <v>4.3788148984198652E-2</v>
      </c>
      <c r="BF367" s="179">
        <f t="shared" si="363"/>
        <v>5.5473345236057098E-2</v>
      </c>
      <c r="BG367" s="179">
        <f t="shared" si="363"/>
        <v>3.502592184563541E-2</v>
      </c>
      <c r="BH367" s="179">
        <f t="shared" si="363"/>
        <v>6.5048607153632129E-2</v>
      </c>
    </row>
    <row r="368" spans="2:68" s="87" customFormat="1" x14ac:dyDescent="0.25">
      <c r="B368" s="84"/>
      <c r="C368" s="85"/>
      <c r="D368" s="85"/>
      <c r="E368" s="109" t="s">
        <v>1</v>
      </c>
      <c r="F368" s="110" t="s">
        <v>65</v>
      </c>
      <c r="G368" s="195" t="s">
        <v>7</v>
      </c>
      <c r="H368" s="69">
        <v>146135</v>
      </c>
      <c r="I368" s="69">
        <v>145989</v>
      </c>
      <c r="J368" s="69">
        <v>151365</v>
      </c>
      <c r="K368" s="69">
        <v>153267</v>
      </c>
      <c r="L368" s="69">
        <v>159709</v>
      </c>
      <c r="M368" s="69">
        <v>165352</v>
      </c>
      <c r="N368" s="69">
        <v>168105</v>
      </c>
      <c r="O368" s="69">
        <v>169420</v>
      </c>
      <c r="P368" s="69">
        <v>168500</v>
      </c>
      <c r="R368" s="195" t="s">
        <v>7</v>
      </c>
      <c r="S368" s="226">
        <v>1.4</v>
      </c>
      <c r="T368" s="226">
        <v>1.6</v>
      </c>
      <c r="U368" s="226">
        <v>1.3</v>
      </c>
      <c r="V368" s="226">
        <v>1.3</v>
      </c>
      <c r="W368" s="226">
        <v>1.8</v>
      </c>
      <c r="X368" s="226">
        <v>1.6</v>
      </c>
      <c r="Y368" s="226">
        <v>1.7</v>
      </c>
      <c r="Z368" s="226">
        <v>1.7</v>
      </c>
      <c r="AA368" s="226">
        <v>1.7</v>
      </c>
      <c r="AC368" s="195" t="s">
        <v>7</v>
      </c>
      <c r="AD368" s="69">
        <f t="shared" si="365"/>
        <v>4091.78</v>
      </c>
      <c r="AE368" s="69">
        <f t="shared" si="361"/>
        <v>4671.6480000000001</v>
      </c>
      <c r="AF368" s="69">
        <f t="shared" si="361"/>
        <v>3935.49</v>
      </c>
      <c r="AG368" s="69">
        <f t="shared" si="361"/>
        <v>3984.942</v>
      </c>
      <c r="AH368" s="69">
        <f t="shared" si="361"/>
        <v>5749.5240000000003</v>
      </c>
      <c r="AI368" s="69">
        <f t="shared" si="361"/>
        <v>5291.2640000000001</v>
      </c>
      <c r="AJ368" s="69">
        <f t="shared" si="361"/>
        <v>5715.57</v>
      </c>
      <c r="AK368" s="69">
        <f t="shared" si="361"/>
        <v>5760.28</v>
      </c>
      <c r="AL368" s="69">
        <f t="shared" si="361"/>
        <v>5729</v>
      </c>
      <c r="AN368" s="195" t="s">
        <v>7</v>
      </c>
      <c r="AO368" s="98">
        <f t="shared" ref="AO368:AW368" si="369">H368/H368</f>
        <v>1</v>
      </c>
      <c r="AP368" s="98">
        <f t="shared" si="369"/>
        <v>1</v>
      </c>
      <c r="AQ368" s="98">
        <f t="shared" si="369"/>
        <v>1</v>
      </c>
      <c r="AR368" s="98">
        <f t="shared" si="369"/>
        <v>1</v>
      </c>
      <c r="AS368" s="98">
        <f t="shared" si="369"/>
        <v>1</v>
      </c>
      <c r="AT368" s="98">
        <f t="shared" si="369"/>
        <v>1</v>
      </c>
      <c r="AU368" s="98">
        <f t="shared" si="369"/>
        <v>1</v>
      </c>
      <c r="AV368" s="98">
        <f t="shared" si="369"/>
        <v>1</v>
      </c>
      <c r="AW368" s="98">
        <f t="shared" si="369"/>
        <v>1</v>
      </c>
      <c r="AX368" s="191"/>
      <c r="AY368" s="195" t="s">
        <v>7</v>
      </c>
      <c r="AZ368" s="178">
        <f t="shared" si="363"/>
        <v>2.7999999999999997E-2</v>
      </c>
      <c r="BA368" s="178">
        <f t="shared" si="363"/>
        <v>3.2000000000000001E-2</v>
      </c>
      <c r="BB368" s="178">
        <f t="shared" si="363"/>
        <v>2.6000000000000002E-2</v>
      </c>
      <c r="BC368" s="178">
        <f t="shared" si="363"/>
        <v>2.6000000000000002E-2</v>
      </c>
      <c r="BD368" s="178">
        <f t="shared" si="363"/>
        <v>3.6000000000000004E-2</v>
      </c>
      <c r="BE368" s="178">
        <f t="shared" si="363"/>
        <v>3.2000000000000001E-2</v>
      </c>
      <c r="BF368" s="178">
        <f t="shared" si="363"/>
        <v>3.4000000000000002E-2</v>
      </c>
      <c r="BG368" s="178">
        <f t="shared" si="363"/>
        <v>3.4000000000000002E-2</v>
      </c>
      <c r="BH368" s="178">
        <f t="shared" si="363"/>
        <v>3.4000000000000002E-2</v>
      </c>
      <c r="BI368" s="191"/>
      <c r="BJ368" s="191"/>
      <c r="BK368" s="191"/>
      <c r="BL368" s="191"/>
      <c r="BM368" s="191"/>
      <c r="BN368" s="191"/>
      <c r="BO368" s="191"/>
      <c r="BP368" s="191"/>
    </row>
    <row r="369" spans="2:68" s="108" customFormat="1" x14ac:dyDescent="0.25">
      <c r="B369" s="107"/>
      <c r="E369" s="109" t="s">
        <v>1</v>
      </c>
      <c r="F369" s="110" t="s">
        <v>65</v>
      </c>
      <c r="G369" s="111" t="s">
        <v>54</v>
      </c>
      <c r="H369" s="112">
        <v>49946</v>
      </c>
      <c r="I369" s="112">
        <v>44834</v>
      </c>
      <c r="J369" s="112">
        <v>41602</v>
      </c>
      <c r="K369" s="112">
        <v>49253</v>
      </c>
      <c r="L369" s="112">
        <v>39648</v>
      </c>
      <c r="M369" s="112">
        <v>46367</v>
      </c>
      <c r="N369" s="112">
        <v>46233</v>
      </c>
      <c r="O369" s="112">
        <v>38332</v>
      </c>
      <c r="P369" s="112">
        <v>35537</v>
      </c>
      <c r="R369" s="111" t="s">
        <v>54</v>
      </c>
      <c r="S369" s="220">
        <v>6.4</v>
      </c>
      <c r="T369" s="220">
        <v>8.1</v>
      </c>
      <c r="U369" s="220">
        <v>7</v>
      </c>
      <c r="V369" s="220">
        <v>7.4</v>
      </c>
      <c r="W369" s="220">
        <v>10.1</v>
      </c>
      <c r="X369" s="220">
        <v>9.1</v>
      </c>
      <c r="Y369" s="220">
        <v>8.5</v>
      </c>
      <c r="Z369" s="220">
        <v>9.4</v>
      </c>
      <c r="AA369" s="220">
        <v>10.1</v>
      </c>
      <c r="AC369" s="111" t="s">
        <v>54</v>
      </c>
      <c r="AD369" s="112">
        <f t="shared" si="365"/>
        <v>6393.0880000000006</v>
      </c>
      <c r="AE369" s="112">
        <f t="shared" si="361"/>
        <v>7263.1079999999993</v>
      </c>
      <c r="AF369" s="112">
        <f t="shared" si="361"/>
        <v>5824.28</v>
      </c>
      <c r="AG369" s="112">
        <f t="shared" si="361"/>
        <v>7289.4440000000004</v>
      </c>
      <c r="AH369" s="112">
        <f t="shared" si="361"/>
        <v>8008.8959999999997</v>
      </c>
      <c r="AI369" s="112">
        <f t="shared" si="361"/>
        <v>8438.7939999999999</v>
      </c>
      <c r="AJ369" s="112">
        <f t="shared" si="361"/>
        <v>7859.61</v>
      </c>
      <c r="AK369" s="112">
        <f t="shared" si="361"/>
        <v>7206.4160000000002</v>
      </c>
      <c r="AL369" s="112">
        <f t="shared" si="361"/>
        <v>7178.4740000000002</v>
      </c>
      <c r="AN369" s="111" t="s">
        <v>54</v>
      </c>
      <c r="AO369" s="113">
        <f t="shared" ref="AO369:AW369" si="370">H369/H368</f>
        <v>0.34177986108735076</v>
      </c>
      <c r="AP369" s="113">
        <f t="shared" si="370"/>
        <v>0.3071053298536191</v>
      </c>
      <c r="AQ369" s="113">
        <f t="shared" si="370"/>
        <v>0.27484557196181414</v>
      </c>
      <c r="AR369" s="113">
        <f t="shared" si="370"/>
        <v>0.32135423802906038</v>
      </c>
      <c r="AS369" s="113">
        <f t="shared" si="370"/>
        <v>0.24825150742913674</v>
      </c>
      <c r="AT369" s="113">
        <f t="shared" si="370"/>
        <v>0.28041390488170692</v>
      </c>
      <c r="AU369" s="113">
        <f t="shared" si="370"/>
        <v>0.2750245382350317</v>
      </c>
      <c r="AV369" s="113">
        <f t="shared" si="370"/>
        <v>0.22625427930586708</v>
      </c>
      <c r="AW369" s="113">
        <f t="shared" si="370"/>
        <v>0.2109020771513353</v>
      </c>
      <c r="AY369" s="111" t="s">
        <v>54</v>
      </c>
      <c r="AZ369" s="179">
        <f t="shared" si="363"/>
        <v>4.3747822219180901E-2</v>
      </c>
      <c r="BA369" s="179">
        <f t="shared" si="363"/>
        <v>4.975106343628629E-2</v>
      </c>
      <c r="BB369" s="179">
        <f t="shared" si="363"/>
        <v>3.8478380074653977E-2</v>
      </c>
      <c r="BC369" s="179">
        <f t="shared" si="363"/>
        <v>4.7560427228300936E-2</v>
      </c>
      <c r="BD369" s="179">
        <f t="shared" si="363"/>
        <v>5.0146804500685621E-2</v>
      </c>
      <c r="BE369" s="179">
        <f t="shared" si="363"/>
        <v>5.1035330688470652E-2</v>
      </c>
      <c r="BF369" s="179">
        <f t="shared" si="363"/>
        <v>4.6754171499955394E-2</v>
      </c>
      <c r="BG369" s="179">
        <f t="shared" si="363"/>
        <v>4.2535804509503013E-2</v>
      </c>
      <c r="BH369" s="179">
        <f t="shared" si="363"/>
        <v>4.260221958456973E-2</v>
      </c>
    </row>
    <row r="370" spans="2:68" s="108" customFormat="1" x14ac:dyDescent="0.25">
      <c r="B370" s="107"/>
      <c r="E370" s="109" t="s">
        <v>1</v>
      </c>
      <c r="F370" s="110" t="s">
        <v>65</v>
      </c>
      <c r="G370" s="111" t="s">
        <v>55</v>
      </c>
      <c r="H370" s="70">
        <v>19052</v>
      </c>
      <c r="I370" s="70">
        <v>24029</v>
      </c>
      <c r="J370" s="70">
        <v>21058</v>
      </c>
      <c r="K370" s="70">
        <v>21598</v>
      </c>
      <c r="L370" s="70">
        <v>18532</v>
      </c>
      <c r="M370" s="70">
        <v>19879</v>
      </c>
      <c r="N370" s="70">
        <v>15747</v>
      </c>
      <c r="O370" s="112">
        <v>12486</v>
      </c>
      <c r="P370" s="112">
        <v>15741</v>
      </c>
      <c r="R370" s="111" t="s">
        <v>55</v>
      </c>
      <c r="S370" s="81">
        <v>11.1</v>
      </c>
      <c r="T370" s="81">
        <v>11.6</v>
      </c>
      <c r="U370" s="81">
        <v>11.9</v>
      </c>
      <c r="V370" s="81">
        <v>12.5</v>
      </c>
      <c r="W370" s="81">
        <v>15.9</v>
      </c>
      <c r="X370" s="81">
        <v>15.3</v>
      </c>
      <c r="Y370" s="81">
        <v>16.600000000000001</v>
      </c>
      <c r="Z370" s="81">
        <v>18</v>
      </c>
      <c r="AA370" s="81">
        <v>16.899999999999999</v>
      </c>
      <c r="AC370" s="111" t="s">
        <v>55</v>
      </c>
      <c r="AD370" s="70">
        <f t="shared" si="365"/>
        <v>4229.5439999999999</v>
      </c>
      <c r="AE370" s="70">
        <f t="shared" si="361"/>
        <v>5574.7279999999992</v>
      </c>
      <c r="AF370" s="70">
        <f t="shared" si="361"/>
        <v>5011.8040000000001</v>
      </c>
      <c r="AG370" s="70">
        <f t="shared" si="361"/>
        <v>5399.5</v>
      </c>
      <c r="AH370" s="70">
        <f t="shared" si="361"/>
        <v>5893.1759999999995</v>
      </c>
      <c r="AI370" s="70">
        <f t="shared" si="361"/>
        <v>6082.9740000000002</v>
      </c>
      <c r="AJ370" s="70">
        <f t="shared" si="361"/>
        <v>5228.0039999999999</v>
      </c>
      <c r="AK370" s="70">
        <f t="shared" si="361"/>
        <v>4494.96</v>
      </c>
      <c r="AL370" s="70">
        <f t="shared" si="361"/>
        <v>5320.4579999999996</v>
      </c>
      <c r="AN370" s="111" t="s">
        <v>55</v>
      </c>
      <c r="AO370" s="113">
        <f t="shared" ref="AO370:AW370" si="371">H370/H368</f>
        <v>0.13037260067745579</v>
      </c>
      <c r="AP370" s="113">
        <f t="shared" si="371"/>
        <v>0.16459459274328889</v>
      </c>
      <c r="AQ370" s="113">
        <f t="shared" si="371"/>
        <v>0.13912066858256533</v>
      </c>
      <c r="AR370" s="113">
        <f t="shared" si="371"/>
        <v>0.14091748386802116</v>
      </c>
      <c r="AS370" s="113">
        <f t="shared" si="371"/>
        <v>0.11603604054874804</v>
      </c>
      <c r="AT370" s="113">
        <f t="shared" si="371"/>
        <v>0.12022231360975373</v>
      </c>
      <c r="AU370" s="113">
        <f t="shared" si="371"/>
        <v>9.3673596859105909E-2</v>
      </c>
      <c r="AV370" s="113">
        <f t="shared" si="371"/>
        <v>7.3698500767323816E-2</v>
      </c>
      <c r="AW370" s="113">
        <f t="shared" si="371"/>
        <v>9.3418397626112759E-2</v>
      </c>
      <c r="AY370" s="111" t="s">
        <v>55</v>
      </c>
      <c r="AZ370" s="179">
        <f t="shared" si="363"/>
        <v>2.8942717350395185E-2</v>
      </c>
      <c r="BA370" s="179">
        <f t="shared" si="363"/>
        <v>3.8185945516443019E-2</v>
      </c>
      <c r="BB370" s="179">
        <f t="shared" si="363"/>
        <v>3.3110719122650553E-2</v>
      </c>
      <c r="BC370" s="179">
        <f t="shared" si="363"/>
        <v>3.5229370967005291E-2</v>
      </c>
      <c r="BD370" s="179">
        <f t="shared" si="363"/>
        <v>3.6899460894501877E-2</v>
      </c>
      <c r="BE370" s="179">
        <f t="shared" si="363"/>
        <v>3.6788027964584642E-2</v>
      </c>
      <c r="BF370" s="179">
        <f t="shared" si="363"/>
        <v>3.1099634157223166E-2</v>
      </c>
      <c r="BG370" s="179">
        <f t="shared" si="363"/>
        <v>2.6531460276236575E-2</v>
      </c>
      <c r="BH370" s="179">
        <f t="shared" si="363"/>
        <v>3.1575418397626114E-2</v>
      </c>
    </row>
    <row r="371" spans="2:68" s="108" customFormat="1" x14ac:dyDescent="0.25">
      <c r="B371" s="107"/>
      <c r="E371" s="109" t="s">
        <v>1</v>
      </c>
      <c r="F371" s="110" t="s">
        <v>65</v>
      </c>
      <c r="G371" s="111" t="s">
        <v>130</v>
      </c>
      <c r="H371" s="70">
        <v>22807</v>
      </c>
      <c r="I371" s="70">
        <v>27131</v>
      </c>
      <c r="J371" s="70">
        <v>21842</v>
      </c>
      <c r="K371" s="70">
        <v>20930</v>
      </c>
      <c r="L371" s="70">
        <v>28065</v>
      </c>
      <c r="M371" s="70">
        <v>20188</v>
      </c>
      <c r="N371" s="70">
        <v>26226</v>
      </c>
      <c r="O371" s="112">
        <v>22266</v>
      </c>
      <c r="P371" s="112">
        <v>21410</v>
      </c>
      <c r="R371" s="111" t="s">
        <v>130</v>
      </c>
      <c r="S371" s="220">
        <v>10.1</v>
      </c>
      <c r="T371" s="220">
        <v>11.4</v>
      </c>
      <c r="U371" s="220">
        <v>11.9</v>
      </c>
      <c r="V371" s="220">
        <v>12.5</v>
      </c>
      <c r="W371" s="220">
        <v>12.7</v>
      </c>
      <c r="X371" s="220">
        <v>14.9</v>
      </c>
      <c r="Y371" s="220">
        <v>12.2</v>
      </c>
      <c r="Z371" s="220">
        <v>12.9</v>
      </c>
      <c r="AA371" s="220">
        <v>13.4</v>
      </c>
      <c r="AC371" s="111" t="s">
        <v>130</v>
      </c>
      <c r="AD371" s="70">
        <f t="shared" si="365"/>
        <v>4607.0139999999992</v>
      </c>
      <c r="AE371" s="70">
        <f t="shared" si="361"/>
        <v>6185.8680000000004</v>
      </c>
      <c r="AF371" s="70">
        <f t="shared" si="361"/>
        <v>5198.3960000000006</v>
      </c>
      <c r="AG371" s="70">
        <f t="shared" si="361"/>
        <v>5232.5</v>
      </c>
      <c r="AH371" s="70">
        <f t="shared" si="361"/>
        <v>7128.51</v>
      </c>
      <c r="AI371" s="70">
        <f t="shared" si="361"/>
        <v>6016.0240000000003</v>
      </c>
      <c r="AJ371" s="70">
        <f t="shared" si="361"/>
        <v>6399.1439999999993</v>
      </c>
      <c r="AK371" s="70">
        <f t="shared" si="361"/>
        <v>5744.6280000000006</v>
      </c>
      <c r="AL371" s="70">
        <f t="shared" si="361"/>
        <v>5737.88</v>
      </c>
      <c r="AN371" s="111" t="s">
        <v>130</v>
      </c>
      <c r="AO371" s="113">
        <f t="shared" ref="AO371:AW371" si="372">H371/H368</f>
        <v>0.15606801929722516</v>
      </c>
      <c r="AP371" s="113">
        <f t="shared" si="372"/>
        <v>0.18584276897574475</v>
      </c>
      <c r="AQ371" s="113">
        <f t="shared" si="372"/>
        <v>0.1443002014996862</v>
      </c>
      <c r="AR371" s="113">
        <f t="shared" si="372"/>
        <v>0.13655907664402644</v>
      </c>
      <c r="AS371" s="113">
        <f t="shared" si="372"/>
        <v>0.17572585139221961</v>
      </c>
      <c r="AT371" s="113">
        <f t="shared" si="372"/>
        <v>0.12209105423581208</v>
      </c>
      <c r="AU371" s="113">
        <f t="shared" si="372"/>
        <v>0.15600963683412153</v>
      </c>
      <c r="AV371" s="113">
        <f t="shared" si="372"/>
        <v>0.13142486129146499</v>
      </c>
      <c r="AW371" s="113">
        <f t="shared" si="372"/>
        <v>0.12706231454005934</v>
      </c>
      <c r="AY371" s="111" t="s">
        <v>130</v>
      </c>
      <c r="AZ371" s="179">
        <f t="shared" si="363"/>
        <v>3.152573989803948E-2</v>
      </c>
      <c r="BA371" s="179">
        <f t="shared" si="363"/>
        <v>4.2372151326469806E-2</v>
      </c>
      <c r="BB371" s="179">
        <f t="shared" si="363"/>
        <v>3.4343447956925316E-2</v>
      </c>
      <c r="BC371" s="179">
        <f t="shared" si="363"/>
        <v>3.4139769161006611E-2</v>
      </c>
      <c r="BD371" s="179">
        <f t="shared" si="363"/>
        <v>4.4634366253623776E-2</v>
      </c>
      <c r="BE371" s="179">
        <f t="shared" si="363"/>
        <v>3.6383134162271999E-2</v>
      </c>
      <c r="BF371" s="179">
        <f t="shared" si="363"/>
        <v>3.8066351387525649E-2</v>
      </c>
      <c r="BG371" s="179">
        <f t="shared" si="363"/>
        <v>3.3907614213197969E-2</v>
      </c>
      <c r="BH371" s="179">
        <f t="shared" si="363"/>
        <v>3.4052700296735905E-2</v>
      </c>
    </row>
    <row r="372" spans="2:68" s="108" customFormat="1" x14ac:dyDescent="0.25">
      <c r="B372" s="107"/>
      <c r="E372" s="109" t="s">
        <v>1</v>
      </c>
      <c r="F372" s="110" t="s">
        <v>65</v>
      </c>
      <c r="G372" s="111" t="s">
        <v>131</v>
      </c>
      <c r="H372" s="112">
        <v>54330</v>
      </c>
      <c r="I372" s="112">
        <v>49995</v>
      </c>
      <c r="J372" s="112">
        <v>66863</v>
      </c>
      <c r="K372" s="112">
        <v>61289</v>
      </c>
      <c r="L372" s="112">
        <v>73463</v>
      </c>
      <c r="M372" s="112">
        <v>78919</v>
      </c>
      <c r="N372" s="112">
        <v>79899</v>
      </c>
      <c r="O372" s="112">
        <v>96336</v>
      </c>
      <c r="P372" s="112">
        <v>95812</v>
      </c>
      <c r="R372" s="111" t="s">
        <v>131</v>
      </c>
      <c r="S372" s="220">
        <v>6</v>
      </c>
      <c r="T372" s="220">
        <v>7.3</v>
      </c>
      <c r="U372" s="220">
        <v>6.2</v>
      </c>
      <c r="V372" s="220">
        <v>6.1</v>
      </c>
      <c r="W372" s="220">
        <v>6.4</v>
      </c>
      <c r="X372" s="220">
        <v>6.3</v>
      </c>
      <c r="Y372" s="220">
        <v>5.9</v>
      </c>
      <c r="Z372" s="220">
        <v>4.5</v>
      </c>
      <c r="AA372" s="220">
        <v>4.9000000000000004</v>
      </c>
      <c r="AC372" s="111" t="s">
        <v>131</v>
      </c>
      <c r="AD372" s="112">
        <f t="shared" si="365"/>
        <v>6519.6</v>
      </c>
      <c r="AE372" s="112">
        <f t="shared" si="361"/>
        <v>7299.27</v>
      </c>
      <c r="AF372" s="112">
        <f t="shared" si="361"/>
        <v>8291.0120000000006</v>
      </c>
      <c r="AG372" s="112">
        <f t="shared" si="361"/>
        <v>7477.2579999999989</v>
      </c>
      <c r="AH372" s="112">
        <f t="shared" si="361"/>
        <v>9403.264000000001</v>
      </c>
      <c r="AI372" s="112">
        <f t="shared" si="361"/>
        <v>9943.7939999999999</v>
      </c>
      <c r="AJ372" s="112">
        <f t="shared" si="361"/>
        <v>9428.0820000000003</v>
      </c>
      <c r="AK372" s="112">
        <f t="shared" si="361"/>
        <v>8670.24</v>
      </c>
      <c r="AL372" s="112">
        <f t="shared" si="361"/>
        <v>9389.5760000000009</v>
      </c>
      <c r="AN372" s="111" t="s">
        <v>131</v>
      </c>
      <c r="AO372" s="113">
        <f t="shared" ref="AO372:AW372" si="373">H372/H368</f>
        <v>0.37177951893796829</v>
      </c>
      <c r="AP372" s="113">
        <f t="shared" si="373"/>
        <v>0.34245730842734728</v>
      </c>
      <c r="AQ372" s="113">
        <f t="shared" si="373"/>
        <v>0.44173355795593433</v>
      </c>
      <c r="AR372" s="113">
        <f t="shared" si="373"/>
        <v>0.39988386280151633</v>
      </c>
      <c r="AS372" s="113">
        <f t="shared" si="373"/>
        <v>0.45998033924199638</v>
      </c>
      <c r="AT372" s="113">
        <f t="shared" si="373"/>
        <v>0.4772787749770187</v>
      </c>
      <c r="AU372" s="113">
        <f t="shared" si="373"/>
        <v>0.47529222807174087</v>
      </c>
      <c r="AV372" s="113">
        <f t="shared" si="373"/>
        <v>0.56862235863534416</v>
      </c>
      <c r="AW372" s="113">
        <f t="shared" si="373"/>
        <v>0.5686172106824926</v>
      </c>
      <c r="AY372" s="111" t="s">
        <v>131</v>
      </c>
      <c r="AZ372" s="179">
        <f t="shared" si="363"/>
        <v>4.4613542272556199E-2</v>
      </c>
      <c r="BA372" s="179">
        <f t="shared" si="363"/>
        <v>4.9998767030392702E-2</v>
      </c>
      <c r="BB372" s="179">
        <f t="shared" si="363"/>
        <v>5.477496118653586E-2</v>
      </c>
      <c r="BC372" s="179">
        <f t="shared" si="363"/>
        <v>4.8785831261784984E-2</v>
      </c>
      <c r="BD372" s="179">
        <f t="shared" si="363"/>
        <v>5.8877483422975538E-2</v>
      </c>
      <c r="BE372" s="179">
        <f t="shared" si="363"/>
        <v>6.0137125647104356E-2</v>
      </c>
      <c r="BF372" s="179">
        <f t="shared" si="363"/>
        <v>5.6084482912465428E-2</v>
      </c>
      <c r="BG372" s="179">
        <f t="shared" si="363"/>
        <v>5.1176012277180973E-2</v>
      </c>
      <c r="BH372" s="179">
        <f t="shared" si="363"/>
        <v>5.5724486646884272E-2</v>
      </c>
    </row>
    <row r="373" spans="2:68" s="87" customFormat="1" x14ac:dyDescent="0.25">
      <c r="B373" s="84"/>
      <c r="C373" s="85"/>
      <c r="D373" s="85"/>
      <c r="E373" s="109" t="s">
        <v>2</v>
      </c>
      <c r="F373" s="110" t="s">
        <v>65</v>
      </c>
      <c r="G373" s="195" t="s">
        <v>7</v>
      </c>
      <c r="H373" s="69">
        <v>244738</v>
      </c>
      <c r="I373" s="69">
        <v>237308</v>
      </c>
      <c r="J373" s="69">
        <v>232846</v>
      </c>
      <c r="K373" s="69">
        <v>225167</v>
      </c>
      <c r="L373" s="69">
        <v>223421</v>
      </c>
      <c r="M373" s="69">
        <v>225433</v>
      </c>
      <c r="N373" s="69">
        <v>233235</v>
      </c>
      <c r="O373" s="69">
        <v>237173</v>
      </c>
      <c r="P373" s="69">
        <v>256258</v>
      </c>
      <c r="R373" s="195" t="s">
        <v>7</v>
      </c>
      <c r="S373" s="226">
        <v>1.3</v>
      </c>
      <c r="T373" s="226">
        <v>1.2</v>
      </c>
      <c r="U373" s="226">
        <v>1.3</v>
      </c>
      <c r="V373" s="226">
        <v>1.2</v>
      </c>
      <c r="W373" s="226">
        <v>1.4</v>
      </c>
      <c r="X373" s="226">
        <v>1.6</v>
      </c>
      <c r="Y373" s="226">
        <v>1.3</v>
      </c>
      <c r="Z373" s="226">
        <v>1.4</v>
      </c>
      <c r="AA373" s="226">
        <v>1.2</v>
      </c>
      <c r="AC373" s="195" t="s">
        <v>7</v>
      </c>
      <c r="AD373" s="69">
        <f t="shared" si="365"/>
        <v>6363.1880000000001</v>
      </c>
      <c r="AE373" s="69">
        <f t="shared" si="361"/>
        <v>5695.3919999999998</v>
      </c>
      <c r="AF373" s="69">
        <f t="shared" si="361"/>
        <v>6053.9960000000001</v>
      </c>
      <c r="AG373" s="69">
        <f t="shared" si="361"/>
        <v>5404.0079999999989</v>
      </c>
      <c r="AH373" s="69">
        <f t="shared" si="361"/>
        <v>6255.7879999999996</v>
      </c>
      <c r="AI373" s="69">
        <f t="shared" si="361"/>
        <v>7213.8560000000007</v>
      </c>
      <c r="AJ373" s="69">
        <f t="shared" si="361"/>
        <v>6064.11</v>
      </c>
      <c r="AK373" s="69">
        <f t="shared" si="361"/>
        <v>6640.8439999999991</v>
      </c>
      <c r="AL373" s="69">
        <f t="shared" si="361"/>
        <v>6150.1919999999991</v>
      </c>
      <c r="AN373" s="195" t="s">
        <v>7</v>
      </c>
      <c r="AO373" s="98">
        <f t="shared" ref="AO373:AW373" si="374">H373/H373</f>
        <v>1</v>
      </c>
      <c r="AP373" s="98">
        <f t="shared" si="374"/>
        <v>1</v>
      </c>
      <c r="AQ373" s="98">
        <f t="shared" si="374"/>
        <v>1</v>
      </c>
      <c r="AR373" s="98">
        <f t="shared" si="374"/>
        <v>1</v>
      </c>
      <c r="AS373" s="98">
        <f t="shared" si="374"/>
        <v>1</v>
      </c>
      <c r="AT373" s="98">
        <f t="shared" si="374"/>
        <v>1</v>
      </c>
      <c r="AU373" s="98">
        <f t="shared" si="374"/>
        <v>1</v>
      </c>
      <c r="AV373" s="98">
        <f t="shared" si="374"/>
        <v>1</v>
      </c>
      <c r="AW373" s="98">
        <f t="shared" si="374"/>
        <v>1</v>
      </c>
      <c r="AX373" s="191"/>
      <c r="AY373" s="195" t="s">
        <v>7</v>
      </c>
      <c r="AZ373" s="178">
        <f t="shared" si="363"/>
        <v>2.6000000000000002E-2</v>
      </c>
      <c r="BA373" s="178">
        <f t="shared" si="363"/>
        <v>2.4E-2</v>
      </c>
      <c r="BB373" s="178">
        <f t="shared" si="363"/>
        <v>2.6000000000000002E-2</v>
      </c>
      <c r="BC373" s="178">
        <f t="shared" si="363"/>
        <v>2.4E-2</v>
      </c>
      <c r="BD373" s="178">
        <f t="shared" si="363"/>
        <v>2.7999999999999997E-2</v>
      </c>
      <c r="BE373" s="178">
        <f t="shared" si="363"/>
        <v>3.2000000000000001E-2</v>
      </c>
      <c r="BF373" s="178">
        <f t="shared" si="363"/>
        <v>2.6000000000000002E-2</v>
      </c>
      <c r="BG373" s="178">
        <f t="shared" si="363"/>
        <v>2.7999999999999997E-2</v>
      </c>
      <c r="BH373" s="178">
        <f t="shared" si="363"/>
        <v>2.4E-2</v>
      </c>
      <c r="BI373" s="191"/>
      <c r="BJ373" s="191"/>
      <c r="BK373" s="191"/>
      <c r="BL373" s="191"/>
      <c r="BM373" s="191"/>
      <c r="BN373" s="191"/>
      <c r="BO373" s="191"/>
      <c r="BP373" s="191"/>
    </row>
    <row r="374" spans="2:68" s="108" customFormat="1" x14ac:dyDescent="0.25">
      <c r="B374" s="107"/>
      <c r="E374" s="109" t="s">
        <v>2</v>
      </c>
      <c r="F374" s="110" t="s">
        <v>65</v>
      </c>
      <c r="G374" s="111" t="s">
        <v>54</v>
      </c>
      <c r="H374" s="112">
        <v>77176</v>
      </c>
      <c r="I374" s="112">
        <v>69641</v>
      </c>
      <c r="J374" s="112">
        <v>64169</v>
      </c>
      <c r="K374" s="112">
        <v>69074</v>
      </c>
      <c r="L374" s="112">
        <v>58688</v>
      </c>
      <c r="M374" s="112">
        <v>54684</v>
      </c>
      <c r="N374" s="112">
        <v>48559</v>
      </c>
      <c r="O374" s="112">
        <v>44188</v>
      </c>
      <c r="P374" s="112">
        <v>58803</v>
      </c>
      <c r="R374" s="111" t="s">
        <v>54</v>
      </c>
      <c r="S374" s="220">
        <v>4.9000000000000004</v>
      </c>
      <c r="T374" s="220">
        <v>6.6</v>
      </c>
      <c r="U374" s="220">
        <v>6.2</v>
      </c>
      <c r="V374" s="220">
        <v>5.9</v>
      </c>
      <c r="W374" s="220">
        <v>8.4</v>
      </c>
      <c r="X374" s="220">
        <v>8.9</v>
      </c>
      <c r="Y374" s="220">
        <v>8.8000000000000007</v>
      </c>
      <c r="Z374" s="220">
        <v>9.6</v>
      </c>
      <c r="AA374" s="220">
        <v>8.1</v>
      </c>
      <c r="AC374" s="111" t="s">
        <v>54</v>
      </c>
      <c r="AD374" s="112">
        <f t="shared" si="365"/>
        <v>7563.2480000000005</v>
      </c>
      <c r="AE374" s="112">
        <f t="shared" si="361"/>
        <v>9192.6119999999992</v>
      </c>
      <c r="AF374" s="112">
        <f t="shared" si="361"/>
        <v>7956.9560000000001</v>
      </c>
      <c r="AG374" s="112">
        <f t="shared" si="361"/>
        <v>8150.7320000000009</v>
      </c>
      <c r="AH374" s="112">
        <f t="shared" si="361"/>
        <v>9859.5840000000007</v>
      </c>
      <c r="AI374" s="112">
        <f t="shared" si="361"/>
        <v>9733.7520000000004</v>
      </c>
      <c r="AJ374" s="112">
        <f t="shared" si="361"/>
        <v>8546.384</v>
      </c>
      <c r="AK374" s="112">
        <f t="shared" si="361"/>
        <v>8484.0959999999995</v>
      </c>
      <c r="AL374" s="112">
        <f t="shared" si="361"/>
        <v>9526.0859999999993</v>
      </c>
      <c r="AN374" s="111" t="s">
        <v>54</v>
      </c>
      <c r="AO374" s="113">
        <f t="shared" ref="AO374:AW374" si="375">H374/H373</f>
        <v>0.3153413037615736</v>
      </c>
      <c r="AP374" s="113">
        <f t="shared" si="375"/>
        <v>0.29346250442462962</v>
      </c>
      <c r="AQ374" s="113">
        <f t="shared" si="375"/>
        <v>0.27558558016886697</v>
      </c>
      <c r="AR374" s="113">
        <f t="shared" si="375"/>
        <v>0.30676786562862229</v>
      </c>
      <c r="AS374" s="113">
        <f t="shared" si="375"/>
        <v>0.26267897825182057</v>
      </c>
      <c r="AT374" s="113">
        <f t="shared" si="375"/>
        <v>0.24257318138870529</v>
      </c>
      <c r="AU374" s="113">
        <f t="shared" si="375"/>
        <v>0.2081977404763436</v>
      </c>
      <c r="AV374" s="113">
        <f t="shared" si="375"/>
        <v>0.18631125802684118</v>
      </c>
      <c r="AW374" s="113">
        <f t="shared" si="375"/>
        <v>0.22946795807350404</v>
      </c>
      <c r="AY374" s="111" t="s">
        <v>54</v>
      </c>
      <c r="AZ374" s="179">
        <f t="shared" si="363"/>
        <v>3.0903447768634216E-2</v>
      </c>
      <c r="BA374" s="179">
        <f t="shared" si="363"/>
        <v>3.8737050584051108E-2</v>
      </c>
      <c r="BB374" s="179">
        <f t="shared" si="363"/>
        <v>3.4172611940939505E-2</v>
      </c>
      <c r="BC374" s="179">
        <f t="shared" si="363"/>
        <v>3.6198608144177434E-2</v>
      </c>
      <c r="BD374" s="179">
        <f t="shared" si="363"/>
        <v>4.413006834630586E-2</v>
      </c>
      <c r="BE374" s="179">
        <f t="shared" si="363"/>
        <v>4.3178026287189544E-2</v>
      </c>
      <c r="BF374" s="179">
        <f t="shared" si="363"/>
        <v>3.6642802323836474E-2</v>
      </c>
      <c r="BG374" s="179">
        <f t="shared" si="363"/>
        <v>3.5771761541153503E-2</v>
      </c>
      <c r="BH374" s="179">
        <f t="shared" si="363"/>
        <v>3.7173809207907652E-2</v>
      </c>
    </row>
    <row r="375" spans="2:68" s="108" customFormat="1" x14ac:dyDescent="0.25">
      <c r="B375" s="107"/>
      <c r="E375" s="109" t="s">
        <v>2</v>
      </c>
      <c r="F375" s="110" t="s">
        <v>65</v>
      </c>
      <c r="G375" s="111" t="s">
        <v>55</v>
      </c>
      <c r="H375" s="70">
        <v>57373</v>
      </c>
      <c r="I375" s="70">
        <v>57904</v>
      </c>
      <c r="J375" s="70">
        <v>53230</v>
      </c>
      <c r="K375" s="70">
        <v>47032</v>
      </c>
      <c r="L375" s="70">
        <v>42205</v>
      </c>
      <c r="M375" s="70">
        <v>44602</v>
      </c>
      <c r="N375" s="70">
        <v>53806</v>
      </c>
      <c r="O375" s="112">
        <v>60773</v>
      </c>
      <c r="P375" s="112">
        <v>39851</v>
      </c>
      <c r="R375" s="111" t="s">
        <v>55</v>
      </c>
      <c r="S375" s="81">
        <v>6.5</v>
      </c>
      <c r="T375" s="81">
        <v>7.4</v>
      </c>
      <c r="U375" s="81">
        <v>7.2</v>
      </c>
      <c r="V375" s="81">
        <v>7.9</v>
      </c>
      <c r="W375" s="81">
        <v>10</v>
      </c>
      <c r="X375" s="81">
        <v>10</v>
      </c>
      <c r="Y375" s="81">
        <v>8.4</v>
      </c>
      <c r="Z375" s="81">
        <v>7.1</v>
      </c>
      <c r="AA375" s="81">
        <v>10.4</v>
      </c>
      <c r="AC375" s="111" t="s">
        <v>55</v>
      </c>
      <c r="AD375" s="70">
        <f t="shared" si="365"/>
        <v>7458.49</v>
      </c>
      <c r="AE375" s="70">
        <f t="shared" si="361"/>
        <v>8569.7920000000013</v>
      </c>
      <c r="AF375" s="70">
        <f t="shared" si="361"/>
        <v>7665.12</v>
      </c>
      <c r="AG375" s="70">
        <f t="shared" si="361"/>
        <v>7431.0559999999996</v>
      </c>
      <c r="AH375" s="70">
        <f t="shared" si="361"/>
        <v>8441</v>
      </c>
      <c r="AI375" s="70">
        <f t="shared" si="361"/>
        <v>8920.4</v>
      </c>
      <c r="AJ375" s="70">
        <f t="shared" si="361"/>
        <v>9039.4080000000013</v>
      </c>
      <c r="AK375" s="70">
        <f t="shared" si="361"/>
        <v>8629.7659999999996</v>
      </c>
      <c r="AL375" s="70">
        <f t="shared" si="361"/>
        <v>8289.0079999999998</v>
      </c>
      <c r="AN375" s="111" t="s">
        <v>55</v>
      </c>
      <c r="AO375" s="113">
        <f t="shared" ref="AO375:AW375" si="376">H375/H373</f>
        <v>0.23442620271473985</v>
      </c>
      <c r="AP375" s="113">
        <f t="shared" si="376"/>
        <v>0.24400357341513981</v>
      </c>
      <c r="AQ375" s="113">
        <f t="shared" si="376"/>
        <v>0.22860603145426592</v>
      </c>
      <c r="AR375" s="113">
        <f t="shared" si="376"/>
        <v>0.20887607864385102</v>
      </c>
      <c r="AS375" s="113">
        <f t="shared" si="376"/>
        <v>0.18890346028350066</v>
      </c>
      <c r="AT375" s="113">
        <f t="shared" si="376"/>
        <v>0.19785035908673532</v>
      </c>
      <c r="AU375" s="113">
        <f t="shared" si="376"/>
        <v>0.2306943640534225</v>
      </c>
      <c r="AV375" s="113">
        <f t="shared" si="376"/>
        <v>0.25623911659421605</v>
      </c>
      <c r="AW375" s="113">
        <f t="shared" si="376"/>
        <v>0.15551124257584154</v>
      </c>
      <c r="AY375" s="111" t="s">
        <v>55</v>
      </c>
      <c r="AZ375" s="179">
        <f t="shared" si="363"/>
        <v>3.0475406352916182E-2</v>
      </c>
      <c r="BA375" s="179">
        <f t="shared" si="363"/>
        <v>3.6112528865440696E-2</v>
      </c>
      <c r="BB375" s="179">
        <f t="shared" si="363"/>
        <v>3.2919268529414292E-2</v>
      </c>
      <c r="BC375" s="179">
        <f t="shared" si="363"/>
        <v>3.3002420425728464E-2</v>
      </c>
      <c r="BD375" s="179">
        <f t="shared" si="363"/>
        <v>3.7780692056700135E-2</v>
      </c>
      <c r="BE375" s="179">
        <f t="shared" si="363"/>
        <v>3.9570071817347063E-2</v>
      </c>
      <c r="BF375" s="179">
        <f t="shared" si="363"/>
        <v>3.8756653160974978E-2</v>
      </c>
      <c r="BG375" s="179">
        <f t="shared" si="363"/>
        <v>3.6385954556378677E-2</v>
      </c>
      <c r="BH375" s="179">
        <f t="shared" si="363"/>
        <v>3.2346338455775038E-2</v>
      </c>
    </row>
    <row r="376" spans="2:68" s="108" customFormat="1" x14ac:dyDescent="0.25">
      <c r="B376" s="107"/>
      <c r="E376" s="109" t="s">
        <v>2</v>
      </c>
      <c r="F376" s="110" t="s">
        <v>65</v>
      </c>
      <c r="G376" s="111" t="s">
        <v>130</v>
      </c>
      <c r="H376" s="70">
        <v>35012</v>
      </c>
      <c r="I376" s="70">
        <v>32407</v>
      </c>
      <c r="J376" s="70">
        <v>32522</v>
      </c>
      <c r="K376" s="70">
        <v>32403</v>
      </c>
      <c r="L376" s="70">
        <v>41013</v>
      </c>
      <c r="M376" s="70">
        <v>35460</v>
      </c>
      <c r="N376" s="70">
        <v>32659</v>
      </c>
      <c r="O376" s="112">
        <v>30312</v>
      </c>
      <c r="P376" s="112">
        <v>33599</v>
      </c>
      <c r="R376" s="111" t="s">
        <v>130</v>
      </c>
      <c r="S376" s="220">
        <v>8.1999999999999993</v>
      </c>
      <c r="T376" s="220">
        <v>10.7</v>
      </c>
      <c r="U376" s="220">
        <v>9.9</v>
      </c>
      <c r="V376" s="220">
        <v>9.9</v>
      </c>
      <c r="W376" s="220">
        <v>10</v>
      </c>
      <c r="X376" s="220">
        <v>11</v>
      </c>
      <c r="Y376" s="220">
        <v>10.6</v>
      </c>
      <c r="Z376" s="220">
        <v>11.1</v>
      </c>
      <c r="AA376" s="220">
        <v>11.6</v>
      </c>
      <c r="AC376" s="111" t="s">
        <v>130</v>
      </c>
      <c r="AD376" s="70">
        <f t="shared" si="365"/>
        <v>5741.9679999999989</v>
      </c>
      <c r="AE376" s="70">
        <f t="shared" si="361"/>
        <v>6935.097999999999</v>
      </c>
      <c r="AF376" s="70">
        <f t="shared" si="361"/>
        <v>6439.3559999999998</v>
      </c>
      <c r="AG376" s="70">
        <f t="shared" si="361"/>
        <v>6415.7939999999999</v>
      </c>
      <c r="AH376" s="70">
        <f t="shared" si="361"/>
        <v>8202.6</v>
      </c>
      <c r="AI376" s="70">
        <f t="shared" si="361"/>
        <v>7801.2</v>
      </c>
      <c r="AJ376" s="70">
        <f t="shared" si="361"/>
        <v>6923.7079999999996</v>
      </c>
      <c r="AK376" s="70">
        <f t="shared" si="361"/>
        <v>6729.2640000000001</v>
      </c>
      <c r="AL376" s="70">
        <f t="shared" si="361"/>
        <v>7794.9679999999989</v>
      </c>
      <c r="AN376" s="111" t="s">
        <v>130</v>
      </c>
      <c r="AO376" s="113">
        <f t="shared" ref="AO376:AW376" si="377">H376/H373</f>
        <v>0.14305910810744552</v>
      </c>
      <c r="AP376" s="113">
        <f t="shared" si="377"/>
        <v>0.13656092504256073</v>
      </c>
      <c r="AQ376" s="113">
        <f t="shared" si="377"/>
        <v>0.13967171435197512</v>
      </c>
      <c r="AR376" s="113">
        <f t="shared" si="377"/>
        <v>0.14390652271425208</v>
      </c>
      <c r="AS376" s="113">
        <f t="shared" si="377"/>
        <v>0.18356824112326056</v>
      </c>
      <c r="AT376" s="113">
        <f t="shared" si="377"/>
        <v>0.15729729010393331</v>
      </c>
      <c r="AU376" s="113">
        <f t="shared" si="377"/>
        <v>0.14002615387913478</v>
      </c>
      <c r="AV376" s="113">
        <f t="shared" si="377"/>
        <v>0.12780544159748369</v>
      </c>
      <c r="AW376" s="113">
        <f t="shared" si="377"/>
        <v>0.13111395546675617</v>
      </c>
      <c r="AY376" s="111" t="s">
        <v>130</v>
      </c>
      <c r="AZ376" s="179">
        <f t="shared" si="363"/>
        <v>2.3461693729621064E-2</v>
      </c>
      <c r="BA376" s="179">
        <f t="shared" si="363"/>
        <v>2.9224037959107996E-2</v>
      </c>
      <c r="BB376" s="179">
        <f t="shared" si="363"/>
        <v>2.7654999441691076E-2</v>
      </c>
      <c r="BC376" s="179">
        <f t="shared" si="363"/>
        <v>2.8493491497421912E-2</v>
      </c>
      <c r="BD376" s="179">
        <f t="shared" si="363"/>
        <v>3.6713648224652111E-2</v>
      </c>
      <c r="BE376" s="179">
        <f t="shared" si="363"/>
        <v>3.4605403822865331E-2</v>
      </c>
      <c r="BF376" s="179">
        <f t="shared" si="363"/>
        <v>2.9685544622376572E-2</v>
      </c>
      <c r="BG376" s="179">
        <f t="shared" si="363"/>
        <v>2.8372808034641376E-2</v>
      </c>
      <c r="BH376" s="179">
        <f t="shared" si="363"/>
        <v>3.0418437668287428E-2</v>
      </c>
    </row>
    <row r="377" spans="2:68" s="108" customFormat="1" x14ac:dyDescent="0.25">
      <c r="B377" s="107"/>
      <c r="E377" s="109" t="s">
        <v>2</v>
      </c>
      <c r="F377" s="110" t="s">
        <v>65</v>
      </c>
      <c r="G377" s="111" t="s">
        <v>131</v>
      </c>
      <c r="H377" s="112">
        <v>75176</v>
      </c>
      <c r="I377" s="112">
        <v>77357</v>
      </c>
      <c r="J377" s="112">
        <v>82925</v>
      </c>
      <c r="K377" s="112">
        <v>76514</v>
      </c>
      <c r="L377" s="112">
        <v>81514</v>
      </c>
      <c r="M377" s="112">
        <v>90687</v>
      </c>
      <c r="N377" s="112">
        <v>98211</v>
      </c>
      <c r="O377" s="112">
        <v>101900</v>
      </c>
      <c r="P377" s="112">
        <v>124005</v>
      </c>
      <c r="R377" s="111" t="s">
        <v>131</v>
      </c>
      <c r="S377" s="220">
        <v>4.9000000000000004</v>
      </c>
      <c r="T377" s="220">
        <v>5.9</v>
      </c>
      <c r="U377" s="220">
        <v>5.4</v>
      </c>
      <c r="V377" s="220">
        <v>5.7</v>
      </c>
      <c r="W377" s="220">
        <v>6</v>
      </c>
      <c r="X377" s="220">
        <v>5.6</v>
      </c>
      <c r="Y377" s="220">
        <v>5.0999999999999996</v>
      </c>
      <c r="Z377" s="220">
        <v>4</v>
      </c>
      <c r="AA377" s="220">
        <v>5.2</v>
      </c>
      <c r="AC377" s="111" t="s">
        <v>131</v>
      </c>
      <c r="AD377" s="112">
        <f t="shared" si="365"/>
        <v>7367.2480000000005</v>
      </c>
      <c r="AE377" s="112">
        <f t="shared" si="361"/>
        <v>9128.1260000000002</v>
      </c>
      <c r="AF377" s="112">
        <f t="shared" si="361"/>
        <v>8955.9000000000015</v>
      </c>
      <c r="AG377" s="112">
        <f t="shared" si="361"/>
        <v>8722.5959999999995</v>
      </c>
      <c r="AH377" s="112">
        <f t="shared" si="361"/>
        <v>9781.68</v>
      </c>
      <c r="AI377" s="112">
        <f t="shared" si="361"/>
        <v>10156.944</v>
      </c>
      <c r="AJ377" s="112">
        <f t="shared" si="361"/>
        <v>10017.521999999999</v>
      </c>
      <c r="AK377" s="112">
        <f t="shared" si="361"/>
        <v>8152</v>
      </c>
      <c r="AL377" s="112">
        <f t="shared" si="361"/>
        <v>12896.52</v>
      </c>
      <c r="AN377" s="111" t="s">
        <v>131</v>
      </c>
      <c r="AO377" s="113">
        <f t="shared" ref="AO377:AW377" si="378">H377/H373</f>
        <v>0.30716929941406729</v>
      </c>
      <c r="AP377" s="113">
        <f t="shared" si="378"/>
        <v>0.32597721105061778</v>
      </c>
      <c r="AQ377" s="113">
        <f t="shared" si="378"/>
        <v>0.35613667402489196</v>
      </c>
      <c r="AR377" s="113">
        <f t="shared" si="378"/>
        <v>0.33981000768318625</v>
      </c>
      <c r="AS377" s="113">
        <f t="shared" si="378"/>
        <v>0.36484484448641802</v>
      </c>
      <c r="AT377" s="113">
        <f t="shared" si="378"/>
        <v>0.40227916942062608</v>
      </c>
      <c r="AU377" s="113">
        <f t="shared" si="378"/>
        <v>0.42108174159109912</v>
      </c>
      <c r="AV377" s="113">
        <f t="shared" si="378"/>
        <v>0.42964418378145908</v>
      </c>
      <c r="AW377" s="113">
        <f t="shared" si="378"/>
        <v>0.48390684388389826</v>
      </c>
      <c r="AY377" s="111" t="s">
        <v>131</v>
      </c>
      <c r="AZ377" s="179">
        <f t="shared" si="363"/>
        <v>3.0102591342578595E-2</v>
      </c>
      <c r="BA377" s="179">
        <f t="shared" si="363"/>
        <v>3.8465310903972899E-2</v>
      </c>
      <c r="BB377" s="179">
        <f t="shared" si="363"/>
        <v>3.8462760794688335E-2</v>
      </c>
      <c r="BC377" s="179">
        <f t="shared" si="363"/>
        <v>3.873834087588323E-2</v>
      </c>
      <c r="BD377" s="179">
        <f t="shared" si="363"/>
        <v>4.3781381338370159E-2</v>
      </c>
      <c r="BE377" s="179">
        <f t="shared" si="363"/>
        <v>4.5055266975110121E-2</v>
      </c>
      <c r="BF377" s="179">
        <f t="shared" si="363"/>
        <v>4.2950337642292107E-2</v>
      </c>
      <c r="BG377" s="179">
        <f t="shared" si="363"/>
        <v>3.4371534702516728E-2</v>
      </c>
      <c r="BH377" s="179">
        <f t="shared" si="363"/>
        <v>5.0326311763925415E-2</v>
      </c>
    </row>
    <row r="378" spans="2:68" s="87" customFormat="1" x14ac:dyDescent="0.25">
      <c r="B378" s="84"/>
      <c r="C378" s="85"/>
      <c r="D378" s="85"/>
      <c r="E378" s="109" t="s">
        <v>3</v>
      </c>
      <c r="F378" s="110" t="s">
        <v>65</v>
      </c>
      <c r="G378" s="195" t="s">
        <v>7</v>
      </c>
      <c r="H378" s="69">
        <v>248530</v>
      </c>
      <c r="I378" s="69">
        <v>261235</v>
      </c>
      <c r="J378" s="69">
        <v>279779</v>
      </c>
      <c r="K378" s="69">
        <v>297024</v>
      </c>
      <c r="L378" s="69">
        <v>311261</v>
      </c>
      <c r="M378" s="69">
        <v>320345</v>
      </c>
      <c r="N378" s="69">
        <v>319384</v>
      </c>
      <c r="O378" s="69">
        <v>321546</v>
      </c>
      <c r="P378" s="69">
        <v>321612</v>
      </c>
      <c r="R378" s="195" t="s">
        <v>7</v>
      </c>
      <c r="S378" s="226">
        <v>1.3</v>
      </c>
      <c r="T378" s="226">
        <v>1.1000000000000001</v>
      </c>
      <c r="U378" s="226">
        <v>1.1000000000000001</v>
      </c>
      <c r="V378" s="226">
        <v>1.1000000000000001</v>
      </c>
      <c r="W378" s="226">
        <v>1.2</v>
      </c>
      <c r="X378" s="226">
        <v>1.2</v>
      </c>
      <c r="Y378" s="226">
        <v>1.1000000000000001</v>
      </c>
      <c r="Z378" s="226">
        <v>1.2</v>
      </c>
      <c r="AA378" s="226">
        <v>1.2</v>
      </c>
      <c r="AC378" s="195" t="s">
        <v>7</v>
      </c>
      <c r="AD378" s="69">
        <f t="shared" si="365"/>
        <v>6461.78</v>
      </c>
      <c r="AE378" s="69">
        <f t="shared" si="361"/>
        <v>5747.17</v>
      </c>
      <c r="AF378" s="69">
        <f t="shared" si="361"/>
        <v>6155.1380000000008</v>
      </c>
      <c r="AG378" s="69">
        <f t="shared" si="361"/>
        <v>6534.5280000000002</v>
      </c>
      <c r="AH378" s="69">
        <f t="shared" si="361"/>
        <v>7470.2640000000001</v>
      </c>
      <c r="AI378" s="69">
        <f t="shared" si="361"/>
        <v>7688.28</v>
      </c>
      <c r="AJ378" s="69">
        <f t="shared" si="361"/>
        <v>7026.4480000000003</v>
      </c>
      <c r="AK378" s="69">
        <f t="shared" si="361"/>
        <v>7717.1040000000003</v>
      </c>
      <c r="AL378" s="69">
        <f t="shared" si="361"/>
        <v>7718.6879999999992</v>
      </c>
      <c r="AN378" s="195" t="s">
        <v>7</v>
      </c>
      <c r="AO378" s="98">
        <f t="shared" ref="AO378:AW378" si="379">H378/H378</f>
        <v>1</v>
      </c>
      <c r="AP378" s="98">
        <f t="shared" si="379"/>
        <v>1</v>
      </c>
      <c r="AQ378" s="98">
        <f t="shared" si="379"/>
        <v>1</v>
      </c>
      <c r="AR378" s="98">
        <f t="shared" si="379"/>
        <v>1</v>
      </c>
      <c r="AS378" s="98">
        <f t="shared" si="379"/>
        <v>1</v>
      </c>
      <c r="AT378" s="98">
        <f t="shared" si="379"/>
        <v>1</v>
      </c>
      <c r="AU378" s="98">
        <f t="shared" si="379"/>
        <v>1</v>
      </c>
      <c r="AV378" s="98">
        <f t="shared" si="379"/>
        <v>1</v>
      </c>
      <c r="AW378" s="98">
        <f t="shared" si="379"/>
        <v>1</v>
      </c>
      <c r="AX378" s="191"/>
      <c r="AY378" s="195" t="s">
        <v>7</v>
      </c>
      <c r="AZ378" s="178">
        <f t="shared" si="363"/>
        <v>2.6000000000000002E-2</v>
      </c>
      <c r="BA378" s="178">
        <f t="shared" si="363"/>
        <v>2.2000000000000002E-2</v>
      </c>
      <c r="BB378" s="178">
        <f t="shared" si="363"/>
        <v>2.2000000000000002E-2</v>
      </c>
      <c r="BC378" s="178">
        <f t="shared" si="363"/>
        <v>2.2000000000000002E-2</v>
      </c>
      <c r="BD378" s="178">
        <f t="shared" si="363"/>
        <v>2.4E-2</v>
      </c>
      <c r="BE378" s="178">
        <f t="shared" si="363"/>
        <v>2.4E-2</v>
      </c>
      <c r="BF378" s="178">
        <f t="shared" si="363"/>
        <v>2.2000000000000002E-2</v>
      </c>
      <c r="BG378" s="178">
        <f t="shared" si="363"/>
        <v>2.4E-2</v>
      </c>
      <c r="BH378" s="178">
        <f t="shared" si="363"/>
        <v>2.4E-2</v>
      </c>
      <c r="BI378" s="191"/>
      <c r="BJ378" s="191"/>
      <c r="BK378" s="191"/>
      <c r="BL378" s="191"/>
      <c r="BM378" s="191"/>
      <c r="BN378" s="191"/>
      <c r="BO378" s="191"/>
      <c r="BP378" s="191"/>
    </row>
    <row r="379" spans="2:68" s="108" customFormat="1" x14ac:dyDescent="0.25">
      <c r="B379" s="107"/>
      <c r="E379" s="109" t="s">
        <v>3</v>
      </c>
      <c r="F379" s="110" t="s">
        <v>65</v>
      </c>
      <c r="G379" s="111" t="s">
        <v>54</v>
      </c>
      <c r="H379" s="112">
        <v>59527</v>
      </c>
      <c r="I379" s="112">
        <v>61207</v>
      </c>
      <c r="J379" s="112">
        <v>60064</v>
      </c>
      <c r="K379" s="112">
        <v>72095</v>
      </c>
      <c r="L379" s="112">
        <v>67644</v>
      </c>
      <c r="M379" s="112">
        <v>70924</v>
      </c>
      <c r="N379" s="112">
        <v>60726</v>
      </c>
      <c r="O379" s="112">
        <v>85033</v>
      </c>
      <c r="P379" s="112">
        <v>57304</v>
      </c>
      <c r="R379" s="111" t="s">
        <v>54</v>
      </c>
      <c r="S379" s="220">
        <v>6.2</v>
      </c>
      <c r="T379" s="220">
        <v>7.1</v>
      </c>
      <c r="U379" s="220">
        <v>6.6</v>
      </c>
      <c r="V379" s="220">
        <v>6.3</v>
      </c>
      <c r="W379" s="220">
        <v>7.6</v>
      </c>
      <c r="X379" s="220">
        <v>7</v>
      </c>
      <c r="Y379" s="220">
        <v>7.9</v>
      </c>
      <c r="Z379" s="220">
        <v>6</v>
      </c>
      <c r="AA379" s="220">
        <v>8.3000000000000007</v>
      </c>
      <c r="AC379" s="111" t="s">
        <v>54</v>
      </c>
      <c r="AD379" s="112">
        <f t="shared" si="365"/>
        <v>7381.3480000000009</v>
      </c>
      <c r="AE379" s="112">
        <f t="shared" si="361"/>
        <v>8691.3939999999984</v>
      </c>
      <c r="AF379" s="112">
        <f t="shared" si="361"/>
        <v>7928.4479999999994</v>
      </c>
      <c r="AG379" s="112">
        <f t="shared" si="361"/>
        <v>9083.9699999999993</v>
      </c>
      <c r="AH379" s="112">
        <f t="shared" si="361"/>
        <v>10281.887999999999</v>
      </c>
      <c r="AI379" s="112">
        <f t="shared" si="361"/>
        <v>9929.36</v>
      </c>
      <c r="AJ379" s="112">
        <f t="shared" si="361"/>
        <v>9594.7080000000005</v>
      </c>
      <c r="AK379" s="112">
        <f t="shared" si="361"/>
        <v>10203.959999999999</v>
      </c>
      <c r="AL379" s="112">
        <f t="shared" si="361"/>
        <v>9512.4639999999999</v>
      </c>
      <c r="AN379" s="111" t="s">
        <v>54</v>
      </c>
      <c r="AO379" s="113">
        <f t="shared" ref="AO379:AW379" si="380">H379/H378</f>
        <v>0.23951635617430492</v>
      </c>
      <c r="AP379" s="113">
        <f t="shared" si="380"/>
        <v>0.23429862001646026</v>
      </c>
      <c r="AQ379" s="113">
        <f t="shared" si="380"/>
        <v>0.21468373251745126</v>
      </c>
      <c r="AR379" s="113">
        <f t="shared" si="380"/>
        <v>0.24272449364361129</v>
      </c>
      <c r="AS379" s="113">
        <f t="shared" si="380"/>
        <v>0.21732244001015225</v>
      </c>
      <c r="AT379" s="113">
        <f t="shared" si="380"/>
        <v>0.22139880441399118</v>
      </c>
      <c r="AU379" s="113">
        <f t="shared" si="380"/>
        <v>0.19013475941186783</v>
      </c>
      <c r="AV379" s="113">
        <f t="shared" si="380"/>
        <v>0.26445049852898184</v>
      </c>
      <c r="AW379" s="113">
        <f t="shared" si="380"/>
        <v>0.17817743119037846</v>
      </c>
      <c r="AY379" s="111" t="s">
        <v>54</v>
      </c>
      <c r="AZ379" s="179">
        <f t="shared" si="363"/>
        <v>2.9700028165613811E-2</v>
      </c>
      <c r="BA379" s="179">
        <f t="shared" si="363"/>
        <v>3.3270404042337359E-2</v>
      </c>
      <c r="BB379" s="179">
        <f t="shared" si="363"/>
        <v>2.8338252692303566E-2</v>
      </c>
      <c r="BC379" s="179">
        <f t="shared" si="363"/>
        <v>3.0583286199095023E-2</v>
      </c>
      <c r="BD379" s="179">
        <f t="shared" si="363"/>
        <v>3.3033010881543139E-2</v>
      </c>
      <c r="BE379" s="179">
        <f t="shared" si="363"/>
        <v>3.0995832617958765E-2</v>
      </c>
      <c r="BF379" s="179">
        <f t="shared" si="363"/>
        <v>3.0041291987075121E-2</v>
      </c>
      <c r="BG379" s="179">
        <f t="shared" si="363"/>
        <v>3.1734059823477823E-2</v>
      </c>
      <c r="BH379" s="179">
        <f t="shared" si="363"/>
        <v>2.9577453577602827E-2</v>
      </c>
    </row>
    <row r="380" spans="2:68" s="108" customFormat="1" x14ac:dyDescent="0.25">
      <c r="B380" s="107"/>
      <c r="E380" s="109" t="s">
        <v>3</v>
      </c>
      <c r="F380" s="110" t="s">
        <v>65</v>
      </c>
      <c r="G380" s="111" t="s">
        <v>55</v>
      </c>
      <c r="H380" s="70">
        <v>80050</v>
      </c>
      <c r="I380" s="70">
        <v>98082</v>
      </c>
      <c r="J380" s="112">
        <v>116102</v>
      </c>
      <c r="K380" s="112">
        <v>96235</v>
      </c>
      <c r="L380" s="112">
        <v>108113</v>
      </c>
      <c r="M380" s="112">
        <v>102782</v>
      </c>
      <c r="N380" s="112">
        <v>110875</v>
      </c>
      <c r="O380" s="112">
        <v>98505</v>
      </c>
      <c r="P380" s="112">
        <v>98942</v>
      </c>
      <c r="R380" s="111" t="s">
        <v>55</v>
      </c>
      <c r="S380" s="81">
        <v>4.8</v>
      </c>
      <c r="T380" s="81">
        <v>5.0999999999999996</v>
      </c>
      <c r="U380" s="81">
        <v>4</v>
      </c>
      <c r="V380" s="81">
        <v>5.0999999999999996</v>
      </c>
      <c r="W380" s="81">
        <v>5.2</v>
      </c>
      <c r="X380" s="81">
        <v>5.3</v>
      </c>
      <c r="Y380" s="81">
        <v>4.8</v>
      </c>
      <c r="Z380" s="81">
        <v>5.3</v>
      </c>
      <c r="AA380" s="81">
        <v>5.8</v>
      </c>
      <c r="AC380" s="111" t="s">
        <v>55</v>
      </c>
      <c r="AD380" s="70">
        <f t="shared" si="365"/>
        <v>7684.8</v>
      </c>
      <c r="AE380" s="70">
        <f t="shared" si="361"/>
        <v>10004.364</v>
      </c>
      <c r="AF380" s="70">
        <f t="shared" si="361"/>
        <v>9288.16</v>
      </c>
      <c r="AG380" s="70">
        <f t="shared" si="361"/>
        <v>9815.9699999999993</v>
      </c>
      <c r="AH380" s="70">
        <f t="shared" si="361"/>
        <v>11243.752</v>
      </c>
      <c r="AI380" s="70">
        <f t="shared" si="361"/>
        <v>10894.892</v>
      </c>
      <c r="AJ380" s="70">
        <f t="shared" si="361"/>
        <v>10644</v>
      </c>
      <c r="AK380" s="70">
        <f t="shared" si="361"/>
        <v>10441.530000000001</v>
      </c>
      <c r="AL380" s="70">
        <f t="shared" si="361"/>
        <v>11477.271999999999</v>
      </c>
      <c r="AN380" s="111" t="s">
        <v>55</v>
      </c>
      <c r="AO380" s="113">
        <f t="shared" ref="AO380:AW380" si="381">H380/H378</f>
        <v>0.3220939122037581</v>
      </c>
      <c r="AP380" s="113">
        <f t="shared" si="381"/>
        <v>0.37545505005072061</v>
      </c>
      <c r="AQ380" s="113">
        <f t="shared" si="381"/>
        <v>0.41497753584078861</v>
      </c>
      <c r="AR380" s="113">
        <f t="shared" si="381"/>
        <v>0.32399738741650508</v>
      </c>
      <c r="AS380" s="113">
        <f t="shared" si="381"/>
        <v>0.34733872859111808</v>
      </c>
      <c r="AT380" s="113">
        <f t="shared" si="381"/>
        <v>0.32084783592689131</v>
      </c>
      <c r="AU380" s="113">
        <f t="shared" si="381"/>
        <v>0.34715264383939082</v>
      </c>
      <c r="AV380" s="113">
        <f t="shared" si="381"/>
        <v>0.30634808083446846</v>
      </c>
      <c r="AW380" s="113">
        <f t="shared" si="381"/>
        <v>0.30764399338333148</v>
      </c>
      <c r="AY380" s="111" t="s">
        <v>55</v>
      </c>
      <c r="AZ380" s="179">
        <f t="shared" si="363"/>
        <v>3.0921015571560777E-2</v>
      </c>
      <c r="BA380" s="179">
        <f t="shared" si="363"/>
        <v>3.8296415105173495E-2</v>
      </c>
      <c r="BB380" s="179">
        <f t="shared" si="363"/>
        <v>3.3198202867263091E-2</v>
      </c>
      <c r="BC380" s="179">
        <f t="shared" si="363"/>
        <v>3.3047733516483518E-2</v>
      </c>
      <c r="BD380" s="179">
        <f t="shared" si="363"/>
        <v>3.6123227773476284E-2</v>
      </c>
      <c r="BE380" s="179">
        <f t="shared" si="363"/>
        <v>3.4009870608250475E-2</v>
      </c>
      <c r="BF380" s="179">
        <f t="shared" si="363"/>
        <v>3.3326653808581519E-2</v>
      </c>
      <c r="BG380" s="179">
        <f t="shared" si="363"/>
        <v>3.2472896568453653E-2</v>
      </c>
      <c r="BH380" s="179">
        <f t="shared" si="363"/>
        <v>3.5686703232466449E-2</v>
      </c>
    </row>
    <row r="381" spans="2:68" s="108" customFormat="1" x14ac:dyDescent="0.25">
      <c r="B381" s="107"/>
      <c r="E381" s="109" t="s">
        <v>3</v>
      </c>
      <c r="F381" s="110" t="s">
        <v>65</v>
      </c>
      <c r="G381" s="111" t="s">
        <v>130</v>
      </c>
      <c r="H381" s="70">
        <v>32905</v>
      </c>
      <c r="I381" s="70">
        <v>34277</v>
      </c>
      <c r="J381" s="70">
        <v>27793</v>
      </c>
      <c r="K381" s="70">
        <v>33841</v>
      </c>
      <c r="L381" s="70">
        <v>51158</v>
      </c>
      <c r="M381" s="70">
        <v>47772</v>
      </c>
      <c r="N381" s="70">
        <v>45817</v>
      </c>
      <c r="O381" s="112">
        <v>42896</v>
      </c>
      <c r="P381" s="112">
        <v>44063</v>
      </c>
      <c r="R381" s="111" t="s">
        <v>130</v>
      </c>
      <c r="S381" s="220">
        <v>8.6</v>
      </c>
      <c r="T381" s="220">
        <v>10.7</v>
      </c>
      <c r="U381" s="220">
        <v>10.9</v>
      </c>
      <c r="V381" s="220">
        <v>9.9</v>
      </c>
      <c r="W381" s="220">
        <v>9</v>
      </c>
      <c r="X381" s="220">
        <v>9.6999999999999993</v>
      </c>
      <c r="Y381" s="220">
        <v>9.3000000000000007</v>
      </c>
      <c r="Z381" s="220">
        <v>9.6</v>
      </c>
      <c r="AA381" s="220">
        <v>10.1</v>
      </c>
      <c r="AC381" s="111" t="s">
        <v>130</v>
      </c>
      <c r="AD381" s="70">
        <f t="shared" si="365"/>
        <v>5659.66</v>
      </c>
      <c r="AE381" s="70">
        <f t="shared" si="361"/>
        <v>7335.2779999999993</v>
      </c>
      <c r="AF381" s="70">
        <f t="shared" si="361"/>
        <v>6058.8739999999998</v>
      </c>
      <c r="AG381" s="70">
        <f t="shared" si="361"/>
        <v>6700.518</v>
      </c>
      <c r="AH381" s="70">
        <f t="shared" si="361"/>
        <v>9208.44</v>
      </c>
      <c r="AI381" s="70">
        <f t="shared" si="361"/>
        <v>9267.768</v>
      </c>
      <c r="AJ381" s="70">
        <f t="shared" si="361"/>
        <v>8521.9620000000014</v>
      </c>
      <c r="AK381" s="70">
        <f t="shared" si="361"/>
        <v>8236.0319999999992</v>
      </c>
      <c r="AL381" s="70">
        <f t="shared" si="361"/>
        <v>8900.7260000000006</v>
      </c>
      <c r="AN381" s="111" t="s">
        <v>130</v>
      </c>
      <c r="AO381" s="113">
        <f t="shared" ref="AO381:AW381" si="382">H381/H378</f>
        <v>0.132398503198809</v>
      </c>
      <c r="AP381" s="113">
        <f t="shared" si="382"/>
        <v>0.13121136141788045</v>
      </c>
      <c r="AQ381" s="113">
        <f t="shared" si="382"/>
        <v>9.933912123497475E-2</v>
      </c>
      <c r="AR381" s="113">
        <f t="shared" si="382"/>
        <v>0.11393355419090713</v>
      </c>
      <c r="AS381" s="113">
        <f t="shared" si="382"/>
        <v>0.164357243599423</v>
      </c>
      <c r="AT381" s="113">
        <f t="shared" si="382"/>
        <v>0.14912672275203295</v>
      </c>
      <c r="AU381" s="113">
        <f t="shared" si="382"/>
        <v>0.14345427447837086</v>
      </c>
      <c r="AV381" s="113">
        <f t="shared" si="382"/>
        <v>0.1334054847517929</v>
      </c>
      <c r="AW381" s="113">
        <f t="shared" si="382"/>
        <v>0.13700670372996032</v>
      </c>
      <c r="AY381" s="111" t="s">
        <v>130</v>
      </c>
      <c r="AZ381" s="179">
        <f t="shared" si="363"/>
        <v>2.2772542550195146E-2</v>
      </c>
      <c r="BA381" s="179">
        <f t="shared" si="363"/>
        <v>2.8079231343426415E-2</v>
      </c>
      <c r="BB381" s="179">
        <f t="shared" si="363"/>
        <v>2.1655928429224498E-2</v>
      </c>
      <c r="BC381" s="179">
        <f t="shared" si="363"/>
        <v>2.2558843729799612E-2</v>
      </c>
      <c r="BD381" s="179">
        <f t="shared" si="363"/>
        <v>2.9584303847896138E-2</v>
      </c>
      <c r="BE381" s="179">
        <f t="shared" si="363"/>
        <v>2.8930584213894394E-2</v>
      </c>
      <c r="BF381" s="179">
        <f t="shared" si="363"/>
        <v>2.6682495052976981E-2</v>
      </c>
      <c r="BG381" s="179">
        <f t="shared" si="363"/>
        <v>2.5613853072344237E-2</v>
      </c>
      <c r="BH381" s="179">
        <f t="shared" si="363"/>
        <v>2.7675354153451983E-2</v>
      </c>
    </row>
    <row r="382" spans="2:68" s="108" customFormat="1" x14ac:dyDescent="0.25">
      <c r="B382" s="107"/>
      <c r="E382" s="109" t="s">
        <v>3</v>
      </c>
      <c r="F382" s="110" t="s">
        <v>65</v>
      </c>
      <c r="G382" s="111" t="s">
        <v>131</v>
      </c>
      <c r="H382" s="112">
        <v>76048</v>
      </c>
      <c r="I382" s="112">
        <v>67224</v>
      </c>
      <c r="J382" s="112">
        <v>75821</v>
      </c>
      <c r="K382" s="112">
        <v>94611</v>
      </c>
      <c r="L382" s="112">
        <v>84346</v>
      </c>
      <c r="M382" s="112">
        <v>98867</v>
      </c>
      <c r="N382" s="112">
        <v>101965</v>
      </c>
      <c r="O382" s="112">
        <v>95112</v>
      </c>
      <c r="P382" s="112">
        <v>121303</v>
      </c>
      <c r="R382" s="111" t="s">
        <v>131</v>
      </c>
      <c r="S382" s="220">
        <v>4.9000000000000004</v>
      </c>
      <c r="T382" s="220">
        <v>6.8</v>
      </c>
      <c r="U382" s="220">
        <v>5.5</v>
      </c>
      <c r="V382" s="220">
        <v>5.2</v>
      </c>
      <c r="W382" s="220">
        <v>6.7</v>
      </c>
      <c r="X382" s="220">
        <v>5.3</v>
      </c>
      <c r="Y382" s="220">
        <v>4.9000000000000004</v>
      </c>
      <c r="Z382" s="220">
        <v>5.7</v>
      </c>
      <c r="AA382" s="220">
        <v>5.4</v>
      </c>
      <c r="AC382" s="111" t="s">
        <v>131</v>
      </c>
      <c r="AD382" s="112">
        <f t="shared" si="365"/>
        <v>7452.7040000000006</v>
      </c>
      <c r="AE382" s="112">
        <f t="shared" si="361"/>
        <v>9142.4639999999999</v>
      </c>
      <c r="AF382" s="112">
        <f t="shared" si="361"/>
        <v>8340.31</v>
      </c>
      <c r="AG382" s="112">
        <f t="shared" si="361"/>
        <v>9839.5439999999999</v>
      </c>
      <c r="AH382" s="112">
        <f t="shared" si="361"/>
        <v>11302.364000000001</v>
      </c>
      <c r="AI382" s="112">
        <f t="shared" si="361"/>
        <v>10479.902</v>
      </c>
      <c r="AJ382" s="112">
        <f t="shared" si="361"/>
        <v>9992.5700000000015</v>
      </c>
      <c r="AK382" s="112">
        <f t="shared" si="361"/>
        <v>10842.768</v>
      </c>
      <c r="AL382" s="112">
        <f t="shared" si="361"/>
        <v>13100.724000000002</v>
      </c>
      <c r="AN382" s="111" t="s">
        <v>131</v>
      </c>
      <c r="AO382" s="113">
        <f t="shared" ref="AO382:AW382" si="383">H382/H378</f>
        <v>0.30599122842312798</v>
      </c>
      <c r="AP382" s="113">
        <f t="shared" si="383"/>
        <v>0.25733152142706756</v>
      </c>
      <c r="AQ382" s="113">
        <f t="shared" si="383"/>
        <v>0.271003184656461</v>
      </c>
      <c r="AR382" s="113">
        <f t="shared" si="383"/>
        <v>0.31852981577246281</v>
      </c>
      <c r="AS382" s="113">
        <f t="shared" si="383"/>
        <v>0.2709815877993067</v>
      </c>
      <c r="AT382" s="113">
        <f t="shared" si="383"/>
        <v>0.30862663690708453</v>
      </c>
      <c r="AU382" s="113">
        <f t="shared" si="383"/>
        <v>0.31925519124314305</v>
      </c>
      <c r="AV382" s="113">
        <f t="shared" si="383"/>
        <v>0.29579593588475678</v>
      </c>
      <c r="AW382" s="113">
        <f t="shared" si="383"/>
        <v>0.37717187169632976</v>
      </c>
      <c r="AY382" s="111" t="s">
        <v>131</v>
      </c>
      <c r="AZ382" s="179">
        <f t="shared" si="363"/>
        <v>2.9987140385466543E-2</v>
      </c>
      <c r="BA382" s="179">
        <f t="shared" si="363"/>
        <v>3.4997086914081189E-2</v>
      </c>
      <c r="BB382" s="179">
        <f t="shared" si="363"/>
        <v>2.9810350312210708E-2</v>
      </c>
      <c r="BC382" s="179">
        <f t="shared" si="363"/>
        <v>3.3127100840336134E-2</v>
      </c>
      <c r="BD382" s="179">
        <f t="shared" si="363"/>
        <v>3.6311532765107096E-2</v>
      </c>
      <c r="BE382" s="179">
        <f t="shared" si="363"/>
        <v>3.271442351215096E-2</v>
      </c>
      <c r="BF382" s="179">
        <f t="shared" si="363"/>
        <v>3.1287008741828021E-2</v>
      </c>
      <c r="BG382" s="179">
        <f t="shared" si="363"/>
        <v>3.3720736690862271E-2</v>
      </c>
      <c r="BH382" s="179">
        <f t="shared" si="363"/>
        <v>4.0734562143203618E-2</v>
      </c>
    </row>
    <row r="383" spans="2:68" s="87" customFormat="1" x14ac:dyDescent="0.25">
      <c r="B383" s="84"/>
      <c r="C383" s="85"/>
      <c r="D383" s="85"/>
      <c r="E383" s="109" t="s">
        <v>45</v>
      </c>
      <c r="F383" s="110" t="s">
        <v>65</v>
      </c>
      <c r="G383" s="195" t="s">
        <v>7</v>
      </c>
      <c r="H383" s="69">
        <v>143145</v>
      </c>
      <c r="I383" s="69">
        <v>141381</v>
      </c>
      <c r="J383" s="69">
        <v>144795</v>
      </c>
      <c r="K383" s="69">
        <v>147318</v>
      </c>
      <c r="L383" s="69">
        <v>153132</v>
      </c>
      <c r="M383" s="69">
        <v>162077</v>
      </c>
      <c r="N383" s="69">
        <v>171407</v>
      </c>
      <c r="O383" s="69">
        <v>180243</v>
      </c>
      <c r="P383" s="69">
        <v>190888</v>
      </c>
      <c r="R383" s="195" t="s">
        <v>7</v>
      </c>
      <c r="S383" s="226">
        <v>1.4</v>
      </c>
      <c r="T383" s="226">
        <v>1.6</v>
      </c>
      <c r="U383" s="226">
        <v>1.6</v>
      </c>
      <c r="V383" s="226">
        <v>1.7</v>
      </c>
      <c r="W383" s="226">
        <v>1.8</v>
      </c>
      <c r="X383" s="226">
        <v>1.8</v>
      </c>
      <c r="Y383" s="226">
        <v>1.7</v>
      </c>
      <c r="Z383" s="226">
        <v>1.7</v>
      </c>
      <c r="AA383" s="226">
        <v>1.2</v>
      </c>
      <c r="AC383" s="195" t="s">
        <v>7</v>
      </c>
      <c r="AD383" s="69">
        <f t="shared" si="365"/>
        <v>4008.06</v>
      </c>
      <c r="AE383" s="69">
        <f t="shared" si="361"/>
        <v>4524.192</v>
      </c>
      <c r="AF383" s="69">
        <f t="shared" si="361"/>
        <v>4633.4399999999996</v>
      </c>
      <c r="AG383" s="69">
        <f t="shared" si="361"/>
        <v>5008.8119999999999</v>
      </c>
      <c r="AH383" s="69">
        <f t="shared" si="361"/>
        <v>5512.7520000000004</v>
      </c>
      <c r="AI383" s="69">
        <f t="shared" si="361"/>
        <v>5834.7720000000008</v>
      </c>
      <c r="AJ383" s="69">
        <f t="shared" si="361"/>
        <v>5827.8379999999997</v>
      </c>
      <c r="AK383" s="69">
        <f t="shared" si="361"/>
        <v>6128.2619999999997</v>
      </c>
      <c r="AL383" s="69">
        <f t="shared" si="361"/>
        <v>4581.3119999999999</v>
      </c>
      <c r="AN383" s="195" t="s">
        <v>7</v>
      </c>
      <c r="AO383" s="98">
        <f t="shared" ref="AO383:AW383" si="384">H383/H383</f>
        <v>1</v>
      </c>
      <c r="AP383" s="98">
        <f t="shared" si="384"/>
        <v>1</v>
      </c>
      <c r="AQ383" s="98">
        <f t="shared" si="384"/>
        <v>1</v>
      </c>
      <c r="AR383" s="98">
        <f t="shared" si="384"/>
        <v>1</v>
      </c>
      <c r="AS383" s="98">
        <f t="shared" si="384"/>
        <v>1</v>
      </c>
      <c r="AT383" s="98">
        <f t="shared" si="384"/>
        <v>1</v>
      </c>
      <c r="AU383" s="98">
        <f t="shared" si="384"/>
        <v>1</v>
      </c>
      <c r="AV383" s="98">
        <f t="shared" si="384"/>
        <v>1</v>
      </c>
      <c r="AW383" s="98">
        <f t="shared" si="384"/>
        <v>1</v>
      </c>
      <c r="AX383" s="191"/>
      <c r="AY383" s="195" t="s">
        <v>7</v>
      </c>
      <c r="AZ383" s="178">
        <f t="shared" si="363"/>
        <v>2.7999999999999997E-2</v>
      </c>
      <c r="BA383" s="178">
        <f t="shared" si="363"/>
        <v>3.2000000000000001E-2</v>
      </c>
      <c r="BB383" s="178">
        <f t="shared" si="363"/>
        <v>3.2000000000000001E-2</v>
      </c>
      <c r="BC383" s="178">
        <f t="shared" si="363"/>
        <v>3.4000000000000002E-2</v>
      </c>
      <c r="BD383" s="178">
        <f t="shared" si="363"/>
        <v>3.6000000000000004E-2</v>
      </c>
      <c r="BE383" s="178">
        <f t="shared" si="363"/>
        <v>3.6000000000000004E-2</v>
      </c>
      <c r="BF383" s="178">
        <f t="shared" si="363"/>
        <v>3.4000000000000002E-2</v>
      </c>
      <c r="BG383" s="178">
        <f t="shared" si="363"/>
        <v>3.4000000000000002E-2</v>
      </c>
      <c r="BH383" s="178">
        <f t="shared" si="363"/>
        <v>2.4E-2</v>
      </c>
      <c r="BI383" s="191"/>
      <c r="BJ383" s="191"/>
      <c r="BK383" s="191"/>
      <c r="BL383" s="191"/>
      <c r="BM383" s="191"/>
      <c r="BN383" s="191"/>
      <c r="BO383" s="191"/>
      <c r="BP383" s="191"/>
    </row>
    <row r="384" spans="2:68" s="108" customFormat="1" x14ac:dyDescent="0.25">
      <c r="B384" s="107"/>
      <c r="E384" s="109" t="s">
        <v>45</v>
      </c>
      <c r="F384" s="110" t="s">
        <v>65</v>
      </c>
      <c r="G384" s="111" t="s">
        <v>54</v>
      </c>
      <c r="H384" s="112">
        <v>16093</v>
      </c>
      <c r="I384" s="112">
        <v>14224</v>
      </c>
      <c r="J384" s="112">
        <v>12584</v>
      </c>
      <c r="K384" s="112">
        <v>13638</v>
      </c>
      <c r="L384" s="112">
        <v>12160</v>
      </c>
      <c r="M384" s="112">
        <v>14798</v>
      </c>
      <c r="N384" s="112">
        <v>17027</v>
      </c>
      <c r="O384" s="112">
        <v>17284</v>
      </c>
      <c r="P384" s="112">
        <v>19136</v>
      </c>
      <c r="R384" s="111" t="s">
        <v>54</v>
      </c>
      <c r="S384" s="220">
        <v>12.1</v>
      </c>
      <c r="T384" s="220">
        <v>15.6</v>
      </c>
      <c r="U384" s="220">
        <v>15.7</v>
      </c>
      <c r="V384" s="220">
        <v>16.2</v>
      </c>
      <c r="W384" s="220">
        <v>19.399999999999999</v>
      </c>
      <c r="X384" s="220">
        <v>18.600000000000001</v>
      </c>
      <c r="Y384" s="220">
        <v>15.2</v>
      </c>
      <c r="Z384" s="220">
        <v>14.7</v>
      </c>
      <c r="AA384" s="220">
        <v>15.4</v>
      </c>
      <c r="AC384" s="111" t="s">
        <v>54</v>
      </c>
      <c r="AD384" s="112">
        <f t="shared" si="365"/>
        <v>3894.5059999999999</v>
      </c>
      <c r="AE384" s="112">
        <f t="shared" si="361"/>
        <v>4437.8879999999999</v>
      </c>
      <c r="AF384" s="112">
        <f t="shared" si="361"/>
        <v>3951.3759999999997</v>
      </c>
      <c r="AG384" s="112">
        <f t="shared" si="361"/>
        <v>4418.7119999999995</v>
      </c>
      <c r="AH384" s="112">
        <f t="shared" si="361"/>
        <v>4718.079999999999</v>
      </c>
      <c r="AI384" s="112">
        <f t="shared" si="361"/>
        <v>5504.8560000000007</v>
      </c>
      <c r="AJ384" s="112">
        <f t="shared" si="361"/>
        <v>5176.2079999999996</v>
      </c>
      <c r="AK384" s="112">
        <f t="shared" si="361"/>
        <v>5081.4960000000001</v>
      </c>
      <c r="AL384" s="112">
        <f t="shared" si="361"/>
        <v>5893.8880000000008</v>
      </c>
      <c r="AN384" s="111" t="s">
        <v>54</v>
      </c>
      <c r="AO384" s="113">
        <f t="shared" ref="AO384:AW384" si="385">H384/H383</f>
        <v>0.1124244647036222</v>
      </c>
      <c r="AP384" s="113">
        <f t="shared" si="385"/>
        <v>0.10060757810455435</v>
      </c>
      <c r="AQ384" s="113">
        <f t="shared" si="385"/>
        <v>8.6909078352153044E-2</v>
      </c>
      <c r="AR384" s="113">
        <f t="shared" si="385"/>
        <v>9.2575245387529023E-2</v>
      </c>
      <c r="AS384" s="113">
        <f t="shared" si="385"/>
        <v>7.9408614789854504E-2</v>
      </c>
      <c r="AT384" s="113">
        <f t="shared" si="385"/>
        <v>9.1302282248560865E-2</v>
      </c>
      <c r="AU384" s="113">
        <f t="shared" si="385"/>
        <v>9.9336666530538423E-2</v>
      </c>
      <c r="AV384" s="113">
        <f t="shared" si="385"/>
        <v>9.5892766986790057E-2</v>
      </c>
      <c r="AW384" s="113">
        <f t="shared" si="385"/>
        <v>0.10024726541217886</v>
      </c>
      <c r="AY384" s="111" t="s">
        <v>54</v>
      </c>
      <c r="AZ384" s="179">
        <f t="shared" si="363"/>
        <v>2.7206720458276573E-2</v>
      </c>
      <c r="BA384" s="179">
        <f t="shared" si="363"/>
        <v>3.1389564368620955E-2</v>
      </c>
      <c r="BB384" s="179">
        <f t="shared" si="363"/>
        <v>2.7289450602576055E-2</v>
      </c>
      <c r="BC384" s="179">
        <f t="shared" si="363"/>
        <v>2.9994379505559401E-2</v>
      </c>
      <c r="BD384" s="179">
        <f t="shared" si="363"/>
        <v>3.0810542538463544E-2</v>
      </c>
      <c r="BE384" s="179">
        <f t="shared" si="363"/>
        <v>3.3964448996464641E-2</v>
      </c>
      <c r="BF384" s="179">
        <f t="shared" si="363"/>
        <v>3.019834662528368E-2</v>
      </c>
      <c r="BG384" s="179">
        <f t="shared" si="363"/>
        <v>2.8192473494116275E-2</v>
      </c>
      <c r="BH384" s="179">
        <f t="shared" si="363"/>
        <v>3.0876157746951089E-2</v>
      </c>
    </row>
    <row r="385" spans="2:68" s="108" customFormat="1" x14ac:dyDescent="0.25">
      <c r="B385" s="107"/>
      <c r="E385" s="109" t="s">
        <v>45</v>
      </c>
      <c r="F385" s="110" t="s">
        <v>65</v>
      </c>
      <c r="G385" s="111" t="s">
        <v>55</v>
      </c>
      <c r="H385" s="70">
        <v>58199</v>
      </c>
      <c r="I385" s="70">
        <v>54997</v>
      </c>
      <c r="J385" s="70">
        <v>57488</v>
      </c>
      <c r="K385" s="70">
        <v>68839</v>
      </c>
      <c r="L385" s="70">
        <v>67357</v>
      </c>
      <c r="M385" s="70">
        <v>71130</v>
      </c>
      <c r="N385" s="70">
        <v>77054</v>
      </c>
      <c r="O385" s="112">
        <v>77424</v>
      </c>
      <c r="P385" s="112">
        <v>81185</v>
      </c>
      <c r="R385" s="111" t="s">
        <v>55</v>
      </c>
      <c r="S385" s="81">
        <v>5.3</v>
      </c>
      <c r="T385" s="81">
        <v>7</v>
      </c>
      <c r="U385" s="81">
        <v>6.2</v>
      </c>
      <c r="V385" s="81">
        <v>5.7</v>
      </c>
      <c r="W385" s="81">
        <v>6.6</v>
      </c>
      <c r="X385" s="81">
        <v>6.3</v>
      </c>
      <c r="Y385" s="81">
        <v>5.9</v>
      </c>
      <c r="Z385" s="81">
        <v>5.9</v>
      </c>
      <c r="AA385" s="81">
        <v>5.8</v>
      </c>
      <c r="AC385" s="111" t="s">
        <v>55</v>
      </c>
      <c r="AD385" s="70">
        <f t="shared" si="365"/>
        <v>6169.0940000000001</v>
      </c>
      <c r="AE385" s="70">
        <f t="shared" si="361"/>
        <v>7699.58</v>
      </c>
      <c r="AF385" s="70">
        <f t="shared" si="361"/>
        <v>7128.5120000000006</v>
      </c>
      <c r="AG385" s="70">
        <f t="shared" si="361"/>
        <v>7847.6459999999997</v>
      </c>
      <c r="AH385" s="70">
        <f t="shared" si="361"/>
        <v>8891.1239999999998</v>
      </c>
      <c r="AI385" s="70">
        <f t="shared" si="361"/>
        <v>8962.3799999999992</v>
      </c>
      <c r="AJ385" s="70">
        <f t="shared" si="361"/>
        <v>9092.3720000000012</v>
      </c>
      <c r="AK385" s="70">
        <f t="shared" si="361"/>
        <v>9136.0320000000011</v>
      </c>
      <c r="AL385" s="70">
        <f t="shared" si="361"/>
        <v>9417.4599999999991</v>
      </c>
      <c r="AN385" s="111" t="s">
        <v>55</v>
      </c>
      <c r="AO385" s="113">
        <f t="shared" ref="AO385:AW385" si="386">H385/H383</f>
        <v>0.40657375388591988</v>
      </c>
      <c r="AP385" s="113">
        <f t="shared" si="386"/>
        <v>0.38899852172498428</v>
      </c>
      <c r="AQ385" s="113">
        <f t="shared" si="386"/>
        <v>0.39703028419489622</v>
      </c>
      <c r="AR385" s="113">
        <f t="shared" si="386"/>
        <v>0.46728166279748573</v>
      </c>
      <c r="AS385" s="113">
        <f t="shared" si="386"/>
        <v>0.439862340986861</v>
      </c>
      <c r="AT385" s="113">
        <f t="shared" si="386"/>
        <v>0.4388654775199442</v>
      </c>
      <c r="AU385" s="113">
        <f t="shared" si="386"/>
        <v>0.44953823356105643</v>
      </c>
      <c r="AV385" s="113">
        <f t="shared" si="386"/>
        <v>0.42955343619447078</v>
      </c>
      <c r="AW385" s="113">
        <f t="shared" si="386"/>
        <v>0.42530174762164202</v>
      </c>
      <c r="AY385" s="111" t="s">
        <v>55</v>
      </c>
      <c r="AZ385" s="179">
        <f t="shared" si="363"/>
        <v>4.3096817911907503E-2</v>
      </c>
      <c r="BA385" s="179">
        <f t="shared" si="363"/>
        <v>5.4459793041497805E-2</v>
      </c>
      <c r="BB385" s="179">
        <f t="shared" si="363"/>
        <v>4.9231755240167131E-2</v>
      </c>
      <c r="BC385" s="179">
        <f t="shared" si="363"/>
        <v>5.327010955891337E-2</v>
      </c>
      <c r="BD385" s="179">
        <f t="shared" si="363"/>
        <v>5.8061829010265652E-2</v>
      </c>
      <c r="BE385" s="179">
        <f t="shared" si="363"/>
        <v>5.5297050167512969E-2</v>
      </c>
      <c r="BF385" s="179">
        <f t="shared" si="363"/>
        <v>5.3045511560204657E-2</v>
      </c>
      <c r="BG385" s="179">
        <f t="shared" si="363"/>
        <v>5.0687305470947554E-2</v>
      </c>
      <c r="BH385" s="179">
        <f t="shared" si="363"/>
        <v>4.9335002724110469E-2</v>
      </c>
    </row>
    <row r="386" spans="2:68" s="108" customFormat="1" x14ac:dyDescent="0.25">
      <c r="B386" s="107"/>
      <c r="E386" s="109" t="s">
        <v>45</v>
      </c>
      <c r="F386" s="110" t="s">
        <v>65</v>
      </c>
      <c r="G386" s="111" t="s">
        <v>130</v>
      </c>
      <c r="H386" s="70">
        <v>15369</v>
      </c>
      <c r="I386" s="70">
        <v>21707</v>
      </c>
      <c r="J386" s="70">
        <v>16894</v>
      </c>
      <c r="K386" s="70">
        <v>14187</v>
      </c>
      <c r="L386" s="70">
        <v>17319</v>
      </c>
      <c r="M386" s="70">
        <v>23504</v>
      </c>
      <c r="N386" s="70">
        <v>21185</v>
      </c>
      <c r="O386" s="112">
        <v>22196</v>
      </c>
      <c r="P386" s="112">
        <v>24731</v>
      </c>
      <c r="R386" s="111" t="s">
        <v>130</v>
      </c>
      <c r="S386" s="220">
        <v>12.5</v>
      </c>
      <c r="T386" s="220">
        <v>12.4</v>
      </c>
      <c r="U386" s="220">
        <v>13.6</v>
      </c>
      <c r="V386" s="220">
        <v>14.9</v>
      </c>
      <c r="W386" s="220">
        <v>15.9</v>
      </c>
      <c r="X386" s="220">
        <v>13.9</v>
      </c>
      <c r="Y386" s="220">
        <v>13.7</v>
      </c>
      <c r="Z386" s="220">
        <v>12.9</v>
      </c>
      <c r="AA386" s="220">
        <v>14.2</v>
      </c>
      <c r="AC386" s="111" t="s">
        <v>130</v>
      </c>
      <c r="AD386" s="70">
        <f t="shared" si="365"/>
        <v>3842.25</v>
      </c>
      <c r="AE386" s="70">
        <f t="shared" si="361"/>
        <v>5383.3359999999993</v>
      </c>
      <c r="AF386" s="70">
        <f t="shared" si="361"/>
        <v>4595.1679999999997</v>
      </c>
      <c r="AG386" s="70">
        <f t="shared" si="361"/>
        <v>4227.7260000000006</v>
      </c>
      <c r="AH386" s="70">
        <f t="shared" si="361"/>
        <v>5507.4420000000009</v>
      </c>
      <c r="AI386" s="70">
        <f t="shared" si="361"/>
        <v>6534.112000000001</v>
      </c>
      <c r="AJ386" s="70">
        <f t="shared" si="361"/>
        <v>5804.69</v>
      </c>
      <c r="AK386" s="70">
        <f t="shared" si="361"/>
        <v>5726.5680000000002</v>
      </c>
      <c r="AL386" s="70">
        <f t="shared" si="361"/>
        <v>7023.6039999999994</v>
      </c>
      <c r="AN386" s="111" t="s">
        <v>130</v>
      </c>
      <c r="AO386" s="113">
        <f t="shared" ref="AO386:AW386" si="387">H386/H383</f>
        <v>0.10736665618778161</v>
      </c>
      <c r="AP386" s="113">
        <f t="shared" si="387"/>
        <v>0.15353548213692081</v>
      </c>
      <c r="AQ386" s="113">
        <f t="shared" si="387"/>
        <v>0.11667529956144894</v>
      </c>
      <c r="AR386" s="113">
        <f t="shared" si="387"/>
        <v>9.6301877570968919E-2</v>
      </c>
      <c r="AS386" s="113">
        <f t="shared" si="387"/>
        <v>0.11309850325209624</v>
      </c>
      <c r="AT386" s="113">
        <f t="shared" si="387"/>
        <v>0.14501749168605046</v>
      </c>
      <c r="AU386" s="113">
        <f t="shared" si="387"/>
        <v>0.1235947190021411</v>
      </c>
      <c r="AV386" s="113">
        <f t="shared" si="387"/>
        <v>0.12314486554262856</v>
      </c>
      <c r="AW386" s="113">
        <f t="shared" si="387"/>
        <v>0.12955764636855119</v>
      </c>
      <c r="AY386" s="111" t="s">
        <v>130</v>
      </c>
      <c r="AZ386" s="179">
        <f t="shared" si="363"/>
        <v>2.6841664046945404E-2</v>
      </c>
      <c r="BA386" s="179">
        <f t="shared" si="363"/>
        <v>3.8076799569956361E-2</v>
      </c>
      <c r="BB386" s="179">
        <f t="shared" si="363"/>
        <v>3.1735681480714109E-2</v>
      </c>
      <c r="BC386" s="179">
        <f t="shared" si="363"/>
        <v>2.869795951614874E-2</v>
      </c>
      <c r="BD386" s="179">
        <f t="shared" si="363"/>
        <v>3.5965324034166607E-2</v>
      </c>
      <c r="BE386" s="179">
        <f t="shared" si="363"/>
        <v>4.0314862688722031E-2</v>
      </c>
      <c r="BF386" s="179">
        <f t="shared" si="363"/>
        <v>3.3864953006586658E-2</v>
      </c>
      <c r="BG386" s="179">
        <f t="shared" si="363"/>
        <v>3.177137530999817E-2</v>
      </c>
      <c r="BH386" s="179">
        <f t="shared" si="363"/>
        <v>3.6794371568668535E-2</v>
      </c>
    </row>
    <row r="387" spans="2:68" s="108" customFormat="1" x14ac:dyDescent="0.25">
      <c r="B387" s="107"/>
      <c r="E387" s="109" t="s">
        <v>45</v>
      </c>
      <c r="F387" s="110" t="s">
        <v>65</v>
      </c>
      <c r="G387" s="111" t="s">
        <v>131</v>
      </c>
      <c r="H387" s="112">
        <v>53465</v>
      </c>
      <c r="I387" s="112">
        <v>50125</v>
      </c>
      <c r="J387" s="112">
        <v>57580</v>
      </c>
      <c r="K387" s="112">
        <v>50619</v>
      </c>
      <c r="L387" s="112">
        <v>56295</v>
      </c>
      <c r="M387" s="112">
        <v>52645</v>
      </c>
      <c r="N387" s="112">
        <v>56140</v>
      </c>
      <c r="O387" s="112">
        <v>63339</v>
      </c>
      <c r="P387" s="112">
        <v>65836</v>
      </c>
      <c r="R387" s="111" t="s">
        <v>131</v>
      </c>
      <c r="S387" s="220">
        <v>5.8</v>
      </c>
      <c r="T387" s="220">
        <v>7</v>
      </c>
      <c r="U387" s="220">
        <v>6.2</v>
      </c>
      <c r="V387" s="220">
        <v>7</v>
      </c>
      <c r="W387" s="220">
        <v>7.8</v>
      </c>
      <c r="X387" s="220">
        <v>7.9</v>
      </c>
      <c r="Y387" s="220">
        <v>7.5</v>
      </c>
      <c r="Z387" s="220">
        <v>7.1</v>
      </c>
      <c r="AA387" s="220">
        <v>7.4</v>
      </c>
      <c r="AC387" s="111" t="s">
        <v>131</v>
      </c>
      <c r="AD387" s="112">
        <f t="shared" si="365"/>
        <v>6201.94</v>
      </c>
      <c r="AE387" s="112">
        <f t="shared" si="361"/>
        <v>7017.5</v>
      </c>
      <c r="AF387" s="112">
        <f t="shared" si="361"/>
        <v>7139.92</v>
      </c>
      <c r="AG387" s="112">
        <f t="shared" si="361"/>
        <v>7086.66</v>
      </c>
      <c r="AH387" s="112">
        <f t="shared" si="361"/>
        <v>8782.02</v>
      </c>
      <c r="AI387" s="112">
        <f t="shared" si="361"/>
        <v>8317.91</v>
      </c>
      <c r="AJ387" s="112">
        <f t="shared" si="361"/>
        <v>8421</v>
      </c>
      <c r="AK387" s="112">
        <f t="shared" si="361"/>
        <v>8994.137999999999</v>
      </c>
      <c r="AL387" s="112">
        <f t="shared" si="361"/>
        <v>9743.728000000001</v>
      </c>
      <c r="AN387" s="111" t="s">
        <v>131</v>
      </c>
      <c r="AO387" s="113">
        <f t="shared" ref="AO387:AW387" si="388">H387/H383</f>
        <v>0.37350239267875229</v>
      </c>
      <c r="AP387" s="113">
        <f t="shared" si="388"/>
        <v>0.35453844576003846</v>
      </c>
      <c r="AQ387" s="113">
        <f t="shared" si="388"/>
        <v>0.39766566525087194</v>
      </c>
      <c r="AR387" s="113">
        <f t="shared" si="388"/>
        <v>0.34360363295727608</v>
      </c>
      <c r="AS387" s="113">
        <f t="shared" si="388"/>
        <v>0.36762401065747197</v>
      </c>
      <c r="AT387" s="113">
        <f t="shared" si="388"/>
        <v>0.32481474854544445</v>
      </c>
      <c r="AU387" s="113">
        <f t="shared" si="388"/>
        <v>0.32752454683881055</v>
      </c>
      <c r="AV387" s="113">
        <f t="shared" si="388"/>
        <v>0.35140893127611056</v>
      </c>
      <c r="AW387" s="113">
        <f t="shared" si="388"/>
        <v>0.34489334059762794</v>
      </c>
      <c r="AY387" s="111" t="s">
        <v>131</v>
      </c>
      <c r="AZ387" s="179">
        <f t="shared" si="363"/>
        <v>4.3326277550735266E-2</v>
      </c>
      <c r="BA387" s="179">
        <f t="shared" si="363"/>
        <v>4.9635382406405387E-2</v>
      </c>
      <c r="BB387" s="179">
        <f t="shared" si="363"/>
        <v>4.9310542491108125E-2</v>
      </c>
      <c r="BC387" s="179">
        <f t="shared" si="363"/>
        <v>4.8104508614018646E-2</v>
      </c>
      <c r="BD387" s="179">
        <f t="shared" si="363"/>
        <v>5.7349345662565623E-2</v>
      </c>
      <c r="BE387" s="179">
        <f t="shared" si="363"/>
        <v>5.1320730270180227E-2</v>
      </c>
      <c r="BF387" s="179">
        <f t="shared" si="363"/>
        <v>4.9128682025821588E-2</v>
      </c>
      <c r="BG387" s="179">
        <f t="shared" si="363"/>
        <v>4.9900068241207698E-2</v>
      </c>
      <c r="BH387" s="179">
        <f t="shared" si="363"/>
        <v>5.1044214408448932E-2</v>
      </c>
    </row>
    <row r="388" spans="2:68" s="87" customFormat="1" x14ac:dyDescent="0.25">
      <c r="B388" s="84"/>
      <c r="C388" s="85"/>
      <c r="D388" s="85"/>
      <c r="E388" s="109" t="s">
        <v>46</v>
      </c>
      <c r="F388" s="110" t="s">
        <v>65</v>
      </c>
      <c r="G388" s="195" t="s">
        <v>7</v>
      </c>
      <c r="H388" s="69">
        <v>907494</v>
      </c>
      <c r="I388" s="69">
        <v>915108</v>
      </c>
      <c r="J388" s="69">
        <v>935340</v>
      </c>
      <c r="K388" s="69">
        <v>949994</v>
      </c>
      <c r="L388" s="69">
        <v>976554</v>
      </c>
      <c r="M388" s="69">
        <v>1002097</v>
      </c>
      <c r="N388" s="69">
        <v>1018599</v>
      </c>
      <c r="O388" s="69">
        <v>1031829</v>
      </c>
      <c r="P388" s="69">
        <v>1056582</v>
      </c>
      <c r="R388" s="195" t="s">
        <v>7</v>
      </c>
      <c r="S388" s="226">
        <v>0.6</v>
      </c>
      <c r="T388" s="226">
        <v>0.7</v>
      </c>
      <c r="U388" s="226">
        <v>0.7</v>
      </c>
      <c r="V388" s="226">
        <v>0.7</v>
      </c>
      <c r="W388" s="226">
        <v>0.8</v>
      </c>
      <c r="X388" s="226">
        <v>0.8</v>
      </c>
      <c r="Y388" s="226">
        <v>0.8</v>
      </c>
      <c r="Z388" s="226">
        <v>0.7</v>
      </c>
      <c r="AA388" s="226">
        <v>0.8</v>
      </c>
      <c r="AC388" s="195" t="s">
        <v>7</v>
      </c>
      <c r="AD388" s="69">
        <f t="shared" si="365"/>
        <v>10889.928</v>
      </c>
      <c r="AE388" s="69">
        <f t="shared" si="361"/>
        <v>12811.511999999999</v>
      </c>
      <c r="AF388" s="69">
        <f t="shared" si="361"/>
        <v>13094.76</v>
      </c>
      <c r="AG388" s="69">
        <f t="shared" si="361"/>
        <v>13299.915999999999</v>
      </c>
      <c r="AH388" s="69">
        <f t="shared" si="361"/>
        <v>15624.864000000001</v>
      </c>
      <c r="AI388" s="69">
        <f t="shared" si="361"/>
        <v>16033.552000000001</v>
      </c>
      <c r="AJ388" s="69">
        <f t="shared" si="361"/>
        <v>16297.584000000001</v>
      </c>
      <c r="AK388" s="69">
        <f t="shared" si="361"/>
        <v>14445.605999999998</v>
      </c>
      <c r="AL388" s="69">
        <f t="shared" si="361"/>
        <v>16905.312000000002</v>
      </c>
      <c r="AN388" s="195" t="s">
        <v>7</v>
      </c>
      <c r="AO388" s="98">
        <f t="shared" ref="AO388:AW388" si="389">H388/H388</f>
        <v>1</v>
      </c>
      <c r="AP388" s="98">
        <f t="shared" si="389"/>
        <v>1</v>
      </c>
      <c r="AQ388" s="98">
        <f t="shared" si="389"/>
        <v>1</v>
      </c>
      <c r="AR388" s="98">
        <f t="shared" si="389"/>
        <v>1</v>
      </c>
      <c r="AS388" s="98">
        <f t="shared" si="389"/>
        <v>1</v>
      </c>
      <c r="AT388" s="98">
        <f t="shared" si="389"/>
        <v>1</v>
      </c>
      <c r="AU388" s="98">
        <f t="shared" si="389"/>
        <v>1</v>
      </c>
      <c r="AV388" s="98">
        <f t="shared" si="389"/>
        <v>1</v>
      </c>
      <c r="AW388" s="98">
        <f t="shared" si="389"/>
        <v>1</v>
      </c>
      <c r="AX388" s="191"/>
      <c r="AY388" s="195" t="s">
        <v>7</v>
      </c>
      <c r="AZ388" s="178">
        <f t="shared" si="363"/>
        <v>1.2E-2</v>
      </c>
      <c r="BA388" s="178">
        <f t="shared" si="363"/>
        <v>1.3999999999999999E-2</v>
      </c>
      <c r="BB388" s="178">
        <f t="shared" si="363"/>
        <v>1.3999999999999999E-2</v>
      </c>
      <c r="BC388" s="178">
        <f t="shared" si="363"/>
        <v>1.3999999999999999E-2</v>
      </c>
      <c r="BD388" s="178">
        <f t="shared" si="363"/>
        <v>1.6E-2</v>
      </c>
      <c r="BE388" s="178">
        <f t="shared" si="363"/>
        <v>1.6E-2</v>
      </c>
      <c r="BF388" s="178">
        <f t="shared" si="363"/>
        <v>1.6E-2</v>
      </c>
      <c r="BG388" s="178">
        <f t="shared" si="363"/>
        <v>1.3999999999999999E-2</v>
      </c>
      <c r="BH388" s="178">
        <f t="shared" si="363"/>
        <v>1.6E-2</v>
      </c>
      <c r="BI388" s="191"/>
      <c r="BJ388" s="191"/>
      <c r="BK388" s="191"/>
      <c r="BL388" s="191"/>
      <c r="BM388" s="191"/>
      <c r="BN388" s="191"/>
      <c r="BO388" s="191"/>
      <c r="BP388" s="191"/>
    </row>
    <row r="389" spans="2:68" s="108" customFormat="1" x14ac:dyDescent="0.25">
      <c r="B389" s="107"/>
      <c r="E389" s="109" t="s">
        <v>46</v>
      </c>
      <c r="F389" s="110" t="s">
        <v>65</v>
      </c>
      <c r="G389" s="111" t="s">
        <v>54</v>
      </c>
      <c r="H389" s="112">
        <v>226951</v>
      </c>
      <c r="I389" s="112">
        <v>207367</v>
      </c>
      <c r="J389" s="112">
        <v>190762</v>
      </c>
      <c r="K389" s="112">
        <v>221046</v>
      </c>
      <c r="L389" s="112">
        <v>190649</v>
      </c>
      <c r="M389" s="112">
        <v>199669</v>
      </c>
      <c r="N389" s="112">
        <v>180553</v>
      </c>
      <c r="O389" s="112">
        <v>193551</v>
      </c>
      <c r="P389" s="112">
        <v>175947</v>
      </c>
      <c r="R389" s="111" t="s">
        <v>54</v>
      </c>
      <c r="S389" s="220">
        <v>3.1</v>
      </c>
      <c r="T389" s="220">
        <v>3.8</v>
      </c>
      <c r="U389" s="220">
        <v>4.2</v>
      </c>
      <c r="V389" s="220">
        <v>3.6</v>
      </c>
      <c r="W389" s="220">
        <v>5</v>
      </c>
      <c r="X389" s="220">
        <v>5.0999999999999996</v>
      </c>
      <c r="Y389" s="220">
        <v>3.7</v>
      </c>
      <c r="Z389" s="220">
        <v>5</v>
      </c>
      <c r="AA389" s="220">
        <v>5.2</v>
      </c>
      <c r="AC389" s="111" t="s">
        <v>54</v>
      </c>
      <c r="AD389" s="112">
        <f t="shared" si="365"/>
        <v>14070.962</v>
      </c>
      <c r="AE389" s="112">
        <f t="shared" si="361"/>
        <v>15759.892</v>
      </c>
      <c r="AF389" s="112">
        <f t="shared" si="361"/>
        <v>16024.008</v>
      </c>
      <c r="AG389" s="112">
        <f t="shared" si="361"/>
        <v>15915.312</v>
      </c>
      <c r="AH389" s="112">
        <f t="shared" si="361"/>
        <v>19064.900000000001</v>
      </c>
      <c r="AI389" s="112">
        <f t="shared" si="361"/>
        <v>20366.237999999998</v>
      </c>
      <c r="AJ389" s="112">
        <f t="shared" si="361"/>
        <v>13360.921999999999</v>
      </c>
      <c r="AK389" s="112">
        <f t="shared" si="361"/>
        <v>19355.099999999999</v>
      </c>
      <c r="AL389" s="112">
        <f t="shared" si="361"/>
        <v>18298.488000000001</v>
      </c>
      <c r="AN389" s="111" t="s">
        <v>54</v>
      </c>
      <c r="AO389" s="113">
        <f t="shared" ref="AO389:AW389" si="390">H389/H388</f>
        <v>0.25008540001366403</v>
      </c>
      <c r="AP389" s="113">
        <f t="shared" si="390"/>
        <v>0.22660385440844141</v>
      </c>
      <c r="AQ389" s="113">
        <f t="shared" si="390"/>
        <v>0.20394936600594435</v>
      </c>
      <c r="AR389" s="113">
        <f t="shared" si="390"/>
        <v>0.23268146956717622</v>
      </c>
      <c r="AS389" s="113">
        <f t="shared" si="390"/>
        <v>0.19522627524949976</v>
      </c>
      <c r="AT389" s="113">
        <f t="shared" si="390"/>
        <v>0.19925117029588951</v>
      </c>
      <c r="AU389" s="113">
        <f t="shared" si="390"/>
        <v>0.17725621171825223</v>
      </c>
      <c r="AV389" s="113">
        <f t="shared" si="390"/>
        <v>0.18758050025731007</v>
      </c>
      <c r="AW389" s="113">
        <f t="shared" si="390"/>
        <v>0.16652469945541379</v>
      </c>
      <c r="AY389" s="111" t="s">
        <v>54</v>
      </c>
      <c r="AZ389" s="179">
        <f t="shared" si="363"/>
        <v>1.5505294800847169E-2</v>
      </c>
      <c r="BA389" s="179">
        <f t="shared" si="363"/>
        <v>1.7221892935041547E-2</v>
      </c>
      <c r="BB389" s="179">
        <f t="shared" si="363"/>
        <v>1.7131746744499327E-2</v>
      </c>
      <c r="BC389" s="179">
        <f t="shared" si="363"/>
        <v>1.675306580883669E-2</v>
      </c>
      <c r="BD389" s="179">
        <f t="shared" si="363"/>
        <v>1.9522627524949977E-2</v>
      </c>
      <c r="BE389" s="179">
        <f t="shared" si="363"/>
        <v>2.0323619370180727E-2</v>
      </c>
      <c r="BF389" s="179">
        <f t="shared" si="363"/>
        <v>1.3116959667150666E-2</v>
      </c>
      <c r="BG389" s="179">
        <f t="shared" si="363"/>
        <v>1.8758050025731009E-2</v>
      </c>
      <c r="BH389" s="179">
        <f t="shared" si="363"/>
        <v>1.7318568743363034E-2</v>
      </c>
    </row>
    <row r="390" spans="2:68" s="108" customFormat="1" x14ac:dyDescent="0.25">
      <c r="B390" s="107"/>
      <c r="E390" s="109" t="s">
        <v>46</v>
      </c>
      <c r="F390" s="110" t="s">
        <v>65</v>
      </c>
      <c r="G390" s="111" t="s">
        <v>55</v>
      </c>
      <c r="H390" s="70">
        <v>217834</v>
      </c>
      <c r="I390" s="70">
        <v>238453</v>
      </c>
      <c r="J390" s="70">
        <v>250794</v>
      </c>
      <c r="K390" s="70">
        <v>237226</v>
      </c>
      <c r="L390" s="70">
        <v>239284</v>
      </c>
      <c r="M390" s="70">
        <v>240757</v>
      </c>
      <c r="N390" s="70">
        <v>259130</v>
      </c>
      <c r="O390" s="112">
        <v>249750</v>
      </c>
      <c r="P390" s="112">
        <v>236002</v>
      </c>
      <c r="R390" s="111" t="s">
        <v>55</v>
      </c>
      <c r="S390" s="81">
        <v>3.1</v>
      </c>
      <c r="T390" s="81">
        <v>3.8</v>
      </c>
      <c r="U390" s="81">
        <v>3</v>
      </c>
      <c r="V390" s="81">
        <v>3.6</v>
      </c>
      <c r="W390" s="81">
        <v>4.2</v>
      </c>
      <c r="X390" s="81">
        <v>4.5</v>
      </c>
      <c r="Y390" s="81">
        <v>3</v>
      </c>
      <c r="Z390" s="81">
        <v>4.2</v>
      </c>
      <c r="AA390" s="81">
        <v>4.4000000000000004</v>
      </c>
      <c r="AC390" s="111" t="s">
        <v>55</v>
      </c>
      <c r="AD390" s="70">
        <f t="shared" si="365"/>
        <v>13505.708000000001</v>
      </c>
      <c r="AE390" s="70">
        <f t="shared" si="361"/>
        <v>18122.428</v>
      </c>
      <c r="AF390" s="70">
        <f t="shared" si="361"/>
        <v>15047.64</v>
      </c>
      <c r="AG390" s="70">
        <f t="shared" si="361"/>
        <v>17080.272000000001</v>
      </c>
      <c r="AH390" s="70">
        <f t="shared" si="361"/>
        <v>20099.856</v>
      </c>
      <c r="AI390" s="70">
        <f t="shared" si="361"/>
        <v>21668.13</v>
      </c>
      <c r="AJ390" s="70">
        <f t="shared" si="361"/>
        <v>15547.8</v>
      </c>
      <c r="AK390" s="70">
        <f t="shared" si="361"/>
        <v>20979</v>
      </c>
      <c r="AL390" s="70">
        <f t="shared" si="361"/>
        <v>20768.175999999999</v>
      </c>
      <c r="AN390" s="111" t="s">
        <v>55</v>
      </c>
      <c r="AO390" s="113">
        <f t="shared" ref="AO390:AW390" si="391">H390/H388</f>
        <v>0.2400390525997968</v>
      </c>
      <c r="AP390" s="113">
        <f t="shared" si="391"/>
        <v>0.26057361535469037</v>
      </c>
      <c r="AQ390" s="113">
        <f t="shared" si="391"/>
        <v>0.26813137468727949</v>
      </c>
      <c r="AR390" s="113">
        <f t="shared" si="391"/>
        <v>0.24971315608309105</v>
      </c>
      <c r="AS390" s="113">
        <f t="shared" si="391"/>
        <v>0.24502894873196976</v>
      </c>
      <c r="AT390" s="113">
        <f t="shared" si="391"/>
        <v>0.24025318906253587</v>
      </c>
      <c r="AU390" s="113">
        <f t="shared" si="391"/>
        <v>0.25439844335209438</v>
      </c>
      <c r="AV390" s="113">
        <f t="shared" si="391"/>
        <v>0.2420459203996011</v>
      </c>
      <c r="AW390" s="113">
        <f t="shared" si="391"/>
        <v>0.22336363860069544</v>
      </c>
      <c r="AY390" s="111" t="s">
        <v>55</v>
      </c>
      <c r="AZ390" s="179">
        <f t="shared" si="363"/>
        <v>1.4882421261187401E-2</v>
      </c>
      <c r="BA390" s="179">
        <f t="shared" si="363"/>
        <v>1.9803594766956468E-2</v>
      </c>
      <c r="BB390" s="179">
        <f t="shared" si="363"/>
        <v>1.6087882481236767E-2</v>
      </c>
      <c r="BC390" s="179">
        <f t="shared" si="363"/>
        <v>1.7979347237982557E-2</v>
      </c>
      <c r="BD390" s="179">
        <f t="shared" si="363"/>
        <v>2.0582431693485458E-2</v>
      </c>
      <c r="BE390" s="179">
        <f t="shared" si="363"/>
        <v>2.1622787015628225E-2</v>
      </c>
      <c r="BF390" s="179">
        <f t="shared" si="363"/>
        <v>1.5263906601125664E-2</v>
      </c>
      <c r="BG390" s="179">
        <f t="shared" si="363"/>
        <v>2.0331857313566494E-2</v>
      </c>
      <c r="BH390" s="179">
        <f t="shared" si="363"/>
        <v>1.9656000196861201E-2</v>
      </c>
    </row>
    <row r="391" spans="2:68" s="108" customFormat="1" x14ac:dyDescent="0.25">
      <c r="B391" s="107"/>
      <c r="E391" s="109" t="s">
        <v>46</v>
      </c>
      <c r="F391" s="110" t="s">
        <v>65</v>
      </c>
      <c r="G391" s="111" t="s">
        <v>130</v>
      </c>
      <c r="H391" s="70">
        <v>119002</v>
      </c>
      <c r="I391" s="70">
        <v>127611</v>
      </c>
      <c r="J391" s="70">
        <v>107023</v>
      </c>
      <c r="K391" s="70">
        <v>110047</v>
      </c>
      <c r="L391" s="70">
        <v>146039</v>
      </c>
      <c r="M391" s="70">
        <v>135219</v>
      </c>
      <c r="N391" s="70">
        <v>133057</v>
      </c>
      <c r="O391" s="112">
        <v>123744</v>
      </c>
      <c r="P391" s="112">
        <v>132786</v>
      </c>
      <c r="R391" s="111" t="s">
        <v>130</v>
      </c>
      <c r="S391" s="220">
        <v>4.7</v>
      </c>
      <c r="T391" s="220">
        <v>5.0999999999999996</v>
      </c>
      <c r="U391" s="220">
        <v>5.3</v>
      </c>
      <c r="V391" s="220">
        <v>5.4</v>
      </c>
      <c r="W391" s="220">
        <v>5.7</v>
      </c>
      <c r="X391" s="220">
        <v>5.8</v>
      </c>
      <c r="Y391" s="220">
        <v>5.0999999999999996</v>
      </c>
      <c r="Z391" s="220">
        <v>6.2</v>
      </c>
      <c r="AA391" s="220">
        <v>5.7</v>
      </c>
      <c r="AC391" s="111" t="s">
        <v>130</v>
      </c>
      <c r="AD391" s="70">
        <f t="shared" si="365"/>
        <v>11186.188</v>
      </c>
      <c r="AE391" s="70">
        <f t="shared" si="361"/>
        <v>13016.322</v>
      </c>
      <c r="AF391" s="70">
        <f t="shared" si="361"/>
        <v>11344.438</v>
      </c>
      <c r="AG391" s="70">
        <f t="shared" si="361"/>
        <v>11885.076000000001</v>
      </c>
      <c r="AH391" s="70">
        <f t="shared" si="361"/>
        <v>16648.446</v>
      </c>
      <c r="AI391" s="70">
        <f t="shared" si="361"/>
        <v>15685.403999999999</v>
      </c>
      <c r="AJ391" s="70">
        <f t="shared" si="361"/>
        <v>13571.813999999998</v>
      </c>
      <c r="AK391" s="70">
        <f t="shared" si="361"/>
        <v>15344.256000000001</v>
      </c>
      <c r="AL391" s="70">
        <f t="shared" si="361"/>
        <v>15137.604000000001</v>
      </c>
      <c r="AN391" s="111" t="s">
        <v>130</v>
      </c>
      <c r="AO391" s="113">
        <f t="shared" ref="AO391:AW391" si="392">H391/H388</f>
        <v>0.13113254743282049</v>
      </c>
      <c r="AP391" s="113">
        <f t="shared" si="392"/>
        <v>0.13944911420291375</v>
      </c>
      <c r="AQ391" s="113">
        <f t="shared" si="392"/>
        <v>0.11442149378835503</v>
      </c>
      <c r="AR391" s="113">
        <f t="shared" si="392"/>
        <v>0.11583967898744624</v>
      </c>
      <c r="AS391" s="113">
        <f t="shared" si="392"/>
        <v>0.14954523764174843</v>
      </c>
      <c r="AT391" s="113">
        <f t="shared" si="392"/>
        <v>0.13493603912595287</v>
      </c>
      <c r="AU391" s="113">
        <f t="shared" si="392"/>
        <v>0.13062745987380706</v>
      </c>
      <c r="AV391" s="113">
        <f t="shared" si="392"/>
        <v>0.11992684834405701</v>
      </c>
      <c r="AW391" s="113">
        <f t="shared" si="392"/>
        <v>0.12567505408950749</v>
      </c>
      <c r="AY391" s="111" t="s">
        <v>130</v>
      </c>
      <c r="AZ391" s="179">
        <f t="shared" si="363"/>
        <v>1.2326459458685126E-2</v>
      </c>
      <c r="BA391" s="179">
        <f t="shared" si="363"/>
        <v>1.4223809648697201E-2</v>
      </c>
      <c r="BB391" s="179">
        <f t="shared" si="363"/>
        <v>1.2128678341565634E-2</v>
      </c>
      <c r="BC391" s="179">
        <f t="shared" ref="BC391:BH402" si="393">2*(V391*AR391/100)</f>
        <v>1.2510685330644193E-2</v>
      </c>
      <c r="BD391" s="179">
        <f t="shared" si="393"/>
        <v>1.7048157091159321E-2</v>
      </c>
      <c r="BE391" s="179">
        <f t="shared" si="393"/>
        <v>1.565258053861053E-2</v>
      </c>
      <c r="BF391" s="179">
        <f t="shared" si="393"/>
        <v>1.3324000907128319E-2</v>
      </c>
      <c r="BG391" s="179">
        <f t="shared" si="393"/>
        <v>1.487092919466307E-2</v>
      </c>
      <c r="BH391" s="179">
        <f t="shared" si="393"/>
        <v>1.4326956166203855E-2</v>
      </c>
    </row>
    <row r="392" spans="2:68" s="108" customFormat="1" x14ac:dyDescent="0.25">
      <c r="B392" s="107"/>
      <c r="E392" s="109" t="s">
        <v>46</v>
      </c>
      <c r="F392" s="110" t="s">
        <v>65</v>
      </c>
      <c r="G392" s="111" t="s">
        <v>131</v>
      </c>
      <c r="H392" s="112">
        <v>339711</v>
      </c>
      <c r="I392" s="112">
        <v>334259</v>
      </c>
      <c r="J392" s="112">
        <v>383903</v>
      </c>
      <c r="K392" s="112">
        <v>377860</v>
      </c>
      <c r="L392" s="112">
        <v>396973</v>
      </c>
      <c r="M392" s="112">
        <v>421702</v>
      </c>
      <c r="N392" s="112">
        <v>442535</v>
      </c>
      <c r="O392" s="112">
        <v>464784</v>
      </c>
      <c r="P392" s="112">
        <v>511847</v>
      </c>
      <c r="R392" s="111" t="s">
        <v>131</v>
      </c>
      <c r="S392" s="220">
        <v>1.8</v>
      </c>
      <c r="T392" s="220">
        <v>2.9</v>
      </c>
      <c r="U392" s="220">
        <v>2.4</v>
      </c>
      <c r="V392" s="220">
        <v>2.7</v>
      </c>
      <c r="W392" s="220">
        <v>3.2</v>
      </c>
      <c r="X392" s="220">
        <v>2.2999999999999998</v>
      </c>
      <c r="Y392" s="220">
        <v>2.4</v>
      </c>
      <c r="Z392" s="220">
        <v>2.2999999999999998</v>
      </c>
      <c r="AA392" s="220">
        <v>2.2999999999999998</v>
      </c>
      <c r="AC392" s="111" t="s">
        <v>131</v>
      </c>
      <c r="AD392" s="112">
        <f t="shared" si="365"/>
        <v>12229.596000000001</v>
      </c>
      <c r="AE392" s="112">
        <f t="shared" si="361"/>
        <v>19387.022000000001</v>
      </c>
      <c r="AF392" s="112">
        <f t="shared" si="361"/>
        <v>18427.343999999997</v>
      </c>
      <c r="AG392" s="112">
        <f t="shared" si="361"/>
        <v>20404.440000000002</v>
      </c>
      <c r="AH392" s="112">
        <f t="shared" si="361"/>
        <v>25406.272000000001</v>
      </c>
      <c r="AI392" s="112">
        <f t="shared" si="361"/>
        <v>19398.292000000001</v>
      </c>
      <c r="AJ392" s="112">
        <f t="shared" si="361"/>
        <v>21241.68</v>
      </c>
      <c r="AK392" s="112">
        <f t="shared" si="361"/>
        <v>21380.063999999998</v>
      </c>
      <c r="AL392" s="112">
        <f t="shared" si="361"/>
        <v>23544.961999999996</v>
      </c>
      <c r="AN392" s="111" t="s">
        <v>131</v>
      </c>
      <c r="AO392" s="113">
        <f t="shared" ref="AO392:AW392" si="394">H392/H388</f>
        <v>0.37433966505563671</v>
      </c>
      <c r="AP392" s="113">
        <f t="shared" si="394"/>
        <v>0.36526726899994316</v>
      </c>
      <c r="AQ392" s="113">
        <f t="shared" si="394"/>
        <v>0.41044219214403321</v>
      </c>
      <c r="AR392" s="113">
        <f t="shared" si="394"/>
        <v>0.39774988052556121</v>
      </c>
      <c r="AS392" s="113">
        <f t="shared" si="394"/>
        <v>0.40650389020986039</v>
      </c>
      <c r="AT392" s="113">
        <f t="shared" si="394"/>
        <v>0.4208195414216388</v>
      </c>
      <c r="AU392" s="113">
        <f t="shared" si="394"/>
        <v>0.43445457927997183</v>
      </c>
      <c r="AV392" s="113">
        <f t="shared" si="394"/>
        <v>0.45044673099903182</v>
      </c>
      <c r="AW392" s="113">
        <f t="shared" si="394"/>
        <v>0.48443660785438331</v>
      </c>
      <c r="AY392" s="111" t="s">
        <v>131</v>
      </c>
      <c r="AZ392" s="179">
        <f t="shared" ref="AZ392:BB402" si="395">2*(S392*AO392/100)</f>
        <v>1.347622794200292E-2</v>
      </c>
      <c r="BA392" s="179">
        <f t="shared" si="395"/>
        <v>2.1185501601996705E-2</v>
      </c>
      <c r="BB392" s="179">
        <f t="shared" si="395"/>
        <v>1.9701225222913593E-2</v>
      </c>
      <c r="BC392" s="179">
        <f t="shared" si="393"/>
        <v>2.1478493548380308E-2</v>
      </c>
      <c r="BD392" s="179">
        <f t="shared" si="393"/>
        <v>2.6016248973431067E-2</v>
      </c>
      <c r="BE392" s="179">
        <f t="shared" si="393"/>
        <v>1.9357698905395383E-2</v>
      </c>
      <c r="BF392" s="179">
        <f t="shared" si="393"/>
        <v>2.0853819805438645E-2</v>
      </c>
      <c r="BG392" s="179">
        <f t="shared" si="393"/>
        <v>2.0720549625955459E-2</v>
      </c>
      <c r="BH392" s="179">
        <f t="shared" si="393"/>
        <v>2.2284083961301628E-2</v>
      </c>
    </row>
    <row r="393" spans="2:68" s="87" customFormat="1" x14ac:dyDescent="0.25">
      <c r="B393" s="84"/>
      <c r="C393" s="85"/>
      <c r="D393" s="85"/>
      <c r="E393" s="109" t="s">
        <v>4</v>
      </c>
      <c r="F393" s="110" t="s">
        <v>65</v>
      </c>
      <c r="G393" s="195" t="s">
        <v>7</v>
      </c>
      <c r="H393" s="69">
        <v>447046</v>
      </c>
      <c r="I393" s="69">
        <v>451324</v>
      </c>
      <c r="J393" s="69">
        <v>460226</v>
      </c>
      <c r="K393" s="69">
        <v>468150</v>
      </c>
      <c r="L393" s="69">
        <v>482063</v>
      </c>
      <c r="M393" s="69">
        <v>495751</v>
      </c>
      <c r="N393" s="69">
        <v>503841</v>
      </c>
      <c r="O393" s="69">
        <v>509835</v>
      </c>
      <c r="P393" s="69">
        <v>524325</v>
      </c>
      <c r="R393" s="195" t="s">
        <v>7</v>
      </c>
      <c r="S393" s="226">
        <v>1.8</v>
      </c>
      <c r="T393" s="226">
        <v>1</v>
      </c>
      <c r="U393" s="226">
        <v>0.9</v>
      </c>
      <c r="V393" s="226">
        <v>0.9</v>
      </c>
      <c r="W393" s="226">
        <v>1.1000000000000001</v>
      </c>
      <c r="X393" s="226">
        <v>1.1000000000000001</v>
      </c>
      <c r="Y393" s="226">
        <v>0.9</v>
      </c>
      <c r="Z393" s="226">
        <v>0.9</v>
      </c>
      <c r="AA393" s="226">
        <v>0.9</v>
      </c>
      <c r="AC393" s="195" t="s">
        <v>7</v>
      </c>
      <c r="AD393" s="69">
        <f t="shared" si="365"/>
        <v>16093.656000000001</v>
      </c>
      <c r="AE393" s="69">
        <f t="shared" si="361"/>
        <v>9026.48</v>
      </c>
      <c r="AF393" s="69">
        <f t="shared" si="361"/>
        <v>8284.0680000000011</v>
      </c>
      <c r="AG393" s="69">
        <f t="shared" si="361"/>
        <v>8426.7000000000007</v>
      </c>
      <c r="AH393" s="69">
        <f t="shared" si="361"/>
        <v>10605.386</v>
      </c>
      <c r="AI393" s="69">
        <f t="shared" si="361"/>
        <v>10906.522000000003</v>
      </c>
      <c r="AJ393" s="69">
        <f t="shared" si="361"/>
        <v>9069.1380000000008</v>
      </c>
      <c r="AK393" s="69">
        <f t="shared" si="361"/>
        <v>9177.0300000000007</v>
      </c>
      <c r="AL393" s="69">
        <f t="shared" si="361"/>
        <v>9437.85</v>
      </c>
      <c r="AN393" s="195" t="s">
        <v>7</v>
      </c>
      <c r="AO393" s="98">
        <f t="shared" ref="AO393:AW393" si="396">H393/H393</f>
        <v>1</v>
      </c>
      <c r="AP393" s="98">
        <f t="shared" si="396"/>
        <v>1</v>
      </c>
      <c r="AQ393" s="98">
        <f t="shared" si="396"/>
        <v>1</v>
      </c>
      <c r="AR393" s="98">
        <f t="shared" si="396"/>
        <v>1</v>
      </c>
      <c r="AS393" s="98">
        <f t="shared" si="396"/>
        <v>1</v>
      </c>
      <c r="AT393" s="98">
        <f t="shared" si="396"/>
        <v>1</v>
      </c>
      <c r="AU393" s="98">
        <f t="shared" si="396"/>
        <v>1</v>
      </c>
      <c r="AV393" s="98">
        <f t="shared" si="396"/>
        <v>1</v>
      </c>
      <c r="AW393" s="98">
        <f t="shared" si="396"/>
        <v>1</v>
      </c>
      <c r="AX393" s="191"/>
      <c r="AY393" s="195" t="s">
        <v>7</v>
      </c>
      <c r="AZ393" s="178">
        <f t="shared" si="395"/>
        <v>3.6000000000000004E-2</v>
      </c>
      <c r="BA393" s="178">
        <f t="shared" si="395"/>
        <v>0.02</v>
      </c>
      <c r="BB393" s="178">
        <f t="shared" si="395"/>
        <v>1.8000000000000002E-2</v>
      </c>
      <c r="BC393" s="178">
        <f t="shared" si="393"/>
        <v>1.8000000000000002E-2</v>
      </c>
      <c r="BD393" s="178">
        <f t="shared" si="393"/>
        <v>2.2000000000000002E-2</v>
      </c>
      <c r="BE393" s="178">
        <f t="shared" si="393"/>
        <v>2.2000000000000002E-2</v>
      </c>
      <c r="BF393" s="178">
        <f t="shared" si="393"/>
        <v>1.8000000000000002E-2</v>
      </c>
      <c r="BG393" s="178">
        <f t="shared" si="393"/>
        <v>1.8000000000000002E-2</v>
      </c>
      <c r="BH393" s="178">
        <f t="shared" si="393"/>
        <v>1.8000000000000002E-2</v>
      </c>
      <c r="BI393" s="191"/>
      <c r="BJ393" s="191"/>
      <c r="BK393" s="191"/>
      <c r="BL393" s="191"/>
      <c r="BM393" s="191"/>
      <c r="BN393" s="191"/>
      <c r="BO393" s="191"/>
      <c r="BP393" s="191"/>
    </row>
    <row r="394" spans="2:68" s="108" customFormat="1" x14ac:dyDescent="0.25">
      <c r="B394" s="107"/>
      <c r="E394" s="109" t="s">
        <v>4</v>
      </c>
      <c r="F394" s="110" t="s">
        <v>65</v>
      </c>
      <c r="G394" s="111" t="s">
        <v>54</v>
      </c>
      <c r="H394" s="112">
        <v>123966</v>
      </c>
      <c r="I394" s="112">
        <v>104102</v>
      </c>
      <c r="J394" s="112">
        <v>100019</v>
      </c>
      <c r="K394" s="112">
        <v>122364</v>
      </c>
      <c r="L394" s="112">
        <v>104392</v>
      </c>
      <c r="M394" s="112">
        <v>104278</v>
      </c>
      <c r="N394" s="112">
        <v>102813</v>
      </c>
      <c r="O394" s="112">
        <v>106745</v>
      </c>
      <c r="P394" s="112">
        <v>91539</v>
      </c>
      <c r="R394" s="111" t="s">
        <v>54</v>
      </c>
      <c r="S394" s="220">
        <v>4.7</v>
      </c>
      <c r="T394" s="220">
        <v>5.5</v>
      </c>
      <c r="U394" s="220">
        <v>5</v>
      </c>
      <c r="V394" s="220">
        <v>4.5999999999999996</v>
      </c>
      <c r="W394" s="220">
        <v>5.5</v>
      </c>
      <c r="X394" s="220">
        <v>5.6</v>
      </c>
      <c r="Y394" s="220">
        <v>5.3</v>
      </c>
      <c r="Z394" s="220">
        <v>6.2</v>
      </c>
      <c r="AA394" s="220">
        <v>6.9</v>
      </c>
      <c r="AC394" s="111" t="s">
        <v>54</v>
      </c>
      <c r="AD394" s="112">
        <f t="shared" si="365"/>
        <v>11652.804000000002</v>
      </c>
      <c r="AE394" s="112">
        <f t="shared" si="361"/>
        <v>11451.22</v>
      </c>
      <c r="AF394" s="112">
        <f t="shared" si="361"/>
        <v>10001.9</v>
      </c>
      <c r="AG394" s="112">
        <f t="shared" si="361"/>
        <v>11257.487999999998</v>
      </c>
      <c r="AH394" s="112">
        <f t="shared" si="361"/>
        <v>11483.12</v>
      </c>
      <c r="AI394" s="112">
        <f t="shared" si="361"/>
        <v>11679.135999999999</v>
      </c>
      <c r="AJ394" s="112">
        <f t="shared" si="361"/>
        <v>10898.178</v>
      </c>
      <c r="AK394" s="112">
        <f t="shared" si="361"/>
        <v>13236.38</v>
      </c>
      <c r="AL394" s="112">
        <f t="shared" si="361"/>
        <v>12632.382</v>
      </c>
      <c r="AN394" s="111" t="s">
        <v>54</v>
      </c>
      <c r="AO394" s="113">
        <f t="shared" ref="AO394:AW394" si="397">H394/H393</f>
        <v>0.27730032256188403</v>
      </c>
      <c r="AP394" s="113">
        <f t="shared" si="397"/>
        <v>0.23065912736747879</v>
      </c>
      <c r="AQ394" s="113">
        <f t="shared" si="397"/>
        <v>0.21732583556774279</v>
      </c>
      <c r="AR394" s="113">
        <f t="shared" si="397"/>
        <v>0.26137776353732778</v>
      </c>
      <c r="AS394" s="113">
        <f t="shared" si="397"/>
        <v>0.21655260826904368</v>
      </c>
      <c r="AT394" s="113">
        <f t="shared" si="397"/>
        <v>0.21034349905496913</v>
      </c>
      <c r="AU394" s="113">
        <f t="shared" si="397"/>
        <v>0.20405842319303114</v>
      </c>
      <c r="AV394" s="113">
        <f t="shared" si="397"/>
        <v>0.20937165945845224</v>
      </c>
      <c r="AW394" s="113">
        <f t="shared" si="397"/>
        <v>0.17458446574166786</v>
      </c>
      <c r="AY394" s="111" t="s">
        <v>54</v>
      </c>
      <c r="AZ394" s="179">
        <f t="shared" si="395"/>
        <v>2.6066230320817101E-2</v>
      </c>
      <c r="BA394" s="179">
        <f t="shared" si="395"/>
        <v>2.5372504010422667E-2</v>
      </c>
      <c r="BB394" s="179">
        <f t="shared" si="395"/>
        <v>2.1732583556774279E-2</v>
      </c>
      <c r="BC394" s="179">
        <f t="shared" si="393"/>
        <v>2.4046754245434152E-2</v>
      </c>
      <c r="BD394" s="179">
        <f t="shared" si="393"/>
        <v>2.3820786909594806E-2</v>
      </c>
      <c r="BE394" s="179">
        <f t="shared" si="393"/>
        <v>2.3558471894156541E-2</v>
      </c>
      <c r="BF394" s="179">
        <f t="shared" si="393"/>
        <v>2.1630192858461302E-2</v>
      </c>
      <c r="BG394" s="179">
        <f t="shared" si="393"/>
        <v>2.5962085772848077E-2</v>
      </c>
      <c r="BH394" s="179">
        <f t="shared" si="393"/>
        <v>2.4092656272350167E-2</v>
      </c>
    </row>
    <row r="395" spans="2:68" s="108" customFormat="1" x14ac:dyDescent="0.25">
      <c r="B395" s="107"/>
      <c r="E395" s="109" t="s">
        <v>4</v>
      </c>
      <c r="F395" s="110" t="s">
        <v>65</v>
      </c>
      <c r="G395" s="111" t="s">
        <v>55</v>
      </c>
      <c r="H395" s="70">
        <v>121391</v>
      </c>
      <c r="I395" s="70">
        <v>137627</v>
      </c>
      <c r="J395" s="70">
        <v>136066</v>
      </c>
      <c r="K395" s="70">
        <v>130079</v>
      </c>
      <c r="L395" s="70">
        <v>129880</v>
      </c>
      <c r="M395" s="70">
        <v>131886</v>
      </c>
      <c r="N395" s="70">
        <v>139607</v>
      </c>
      <c r="O395" s="112">
        <v>129848</v>
      </c>
      <c r="P395" s="112">
        <v>134645</v>
      </c>
      <c r="R395" s="111" t="s">
        <v>55</v>
      </c>
      <c r="S395" s="81">
        <v>4.7</v>
      </c>
      <c r="T395" s="81">
        <v>5.0999999999999996</v>
      </c>
      <c r="U395" s="81">
        <v>4.7</v>
      </c>
      <c r="V395" s="81">
        <v>4.9000000000000004</v>
      </c>
      <c r="W395" s="81">
        <v>5.7</v>
      </c>
      <c r="X395" s="81">
        <v>5.8</v>
      </c>
      <c r="Y395" s="81">
        <v>4</v>
      </c>
      <c r="Z395" s="81">
        <v>5.4</v>
      </c>
      <c r="AA395" s="81">
        <v>5.7</v>
      </c>
      <c r="AC395" s="111" t="s">
        <v>55</v>
      </c>
      <c r="AD395" s="70">
        <f t="shared" si="365"/>
        <v>11410.754000000001</v>
      </c>
      <c r="AE395" s="70">
        <f t="shared" si="361"/>
        <v>14037.954</v>
      </c>
      <c r="AF395" s="70">
        <f t="shared" ref="AF395:AL402" si="398">2*(J395*U395/100)</f>
        <v>12790.204000000002</v>
      </c>
      <c r="AG395" s="70">
        <f t="shared" si="398"/>
        <v>12747.742000000002</v>
      </c>
      <c r="AH395" s="70">
        <f t="shared" si="398"/>
        <v>14806.32</v>
      </c>
      <c r="AI395" s="70">
        <f t="shared" si="398"/>
        <v>15298.775999999998</v>
      </c>
      <c r="AJ395" s="70">
        <f t="shared" si="398"/>
        <v>11168.56</v>
      </c>
      <c r="AK395" s="70">
        <f t="shared" si="398"/>
        <v>14023.584000000001</v>
      </c>
      <c r="AL395" s="70">
        <f t="shared" si="398"/>
        <v>15349.53</v>
      </c>
      <c r="AN395" s="111" t="s">
        <v>55</v>
      </c>
      <c r="AO395" s="113">
        <f t="shared" ref="AO395:AW395" si="399">H395/H393</f>
        <v>0.27154028891881371</v>
      </c>
      <c r="AP395" s="113">
        <f t="shared" si="399"/>
        <v>0.30494057484202036</v>
      </c>
      <c r="AQ395" s="113">
        <f t="shared" si="399"/>
        <v>0.29565039784801378</v>
      </c>
      <c r="AR395" s="113">
        <f t="shared" si="399"/>
        <v>0.27785752429776783</v>
      </c>
      <c r="AS395" s="113">
        <f t="shared" si="399"/>
        <v>0.26942536556425195</v>
      </c>
      <c r="AT395" s="113">
        <f t="shared" si="399"/>
        <v>0.26603274627786933</v>
      </c>
      <c r="AU395" s="113">
        <f t="shared" si="399"/>
        <v>0.27708542972882316</v>
      </c>
      <c r="AV395" s="113">
        <f t="shared" si="399"/>
        <v>0.2546863200839487</v>
      </c>
      <c r="AW395" s="113">
        <f t="shared" si="399"/>
        <v>0.25679683402469844</v>
      </c>
      <c r="AY395" s="111" t="s">
        <v>55</v>
      </c>
      <c r="AZ395" s="179">
        <f t="shared" si="395"/>
        <v>2.5524787158368492E-2</v>
      </c>
      <c r="BA395" s="179">
        <f t="shared" si="395"/>
        <v>3.1103938633886073E-2</v>
      </c>
      <c r="BB395" s="179">
        <f t="shared" si="395"/>
        <v>2.7791137397713297E-2</v>
      </c>
      <c r="BC395" s="179">
        <f t="shared" si="393"/>
        <v>2.7230037381181252E-2</v>
      </c>
      <c r="BD395" s="179">
        <f t="shared" si="393"/>
        <v>3.0714491674324721E-2</v>
      </c>
      <c r="BE395" s="179">
        <f t="shared" si="393"/>
        <v>3.085979856823284E-2</v>
      </c>
      <c r="BF395" s="179">
        <f t="shared" si="393"/>
        <v>2.2166834378305852E-2</v>
      </c>
      <c r="BG395" s="179">
        <f t="shared" si="393"/>
        <v>2.7506122569066462E-2</v>
      </c>
      <c r="BH395" s="179">
        <f t="shared" si="393"/>
        <v>2.9274839078815625E-2</v>
      </c>
    </row>
    <row r="396" spans="2:68" s="108" customFormat="1" x14ac:dyDescent="0.25">
      <c r="B396" s="107"/>
      <c r="E396" s="109" t="s">
        <v>4</v>
      </c>
      <c r="F396" s="110" t="s">
        <v>65</v>
      </c>
      <c r="G396" s="111" t="s">
        <v>130</v>
      </c>
      <c r="H396" s="70">
        <v>60008</v>
      </c>
      <c r="I396" s="70">
        <v>60843</v>
      </c>
      <c r="J396" s="70">
        <v>53541</v>
      </c>
      <c r="K396" s="70">
        <v>54762</v>
      </c>
      <c r="L396" s="70">
        <v>73424</v>
      </c>
      <c r="M396" s="70">
        <v>71865</v>
      </c>
      <c r="N396" s="70">
        <v>64823</v>
      </c>
      <c r="O396" s="112">
        <v>61713</v>
      </c>
      <c r="P396" s="112">
        <v>68238</v>
      </c>
      <c r="R396" s="111" t="s">
        <v>130</v>
      </c>
      <c r="S396" s="220">
        <v>6.3</v>
      </c>
      <c r="T396" s="220">
        <v>7.3</v>
      </c>
      <c r="U396" s="220">
        <v>7.7</v>
      </c>
      <c r="V396" s="220">
        <v>7.9</v>
      </c>
      <c r="W396" s="220">
        <v>7.8</v>
      </c>
      <c r="X396" s="220">
        <v>8</v>
      </c>
      <c r="Y396" s="220">
        <v>8.1</v>
      </c>
      <c r="Z396" s="220">
        <v>8</v>
      </c>
      <c r="AA396" s="220">
        <v>8.1</v>
      </c>
      <c r="AC396" s="111" t="s">
        <v>130</v>
      </c>
      <c r="AD396" s="70">
        <f t="shared" si="365"/>
        <v>7561.0079999999989</v>
      </c>
      <c r="AE396" s="70">
        <f t="shared" si="365"/>
        <v>8883.0779999999995</v>
      </c>
      <c r="AF396" s="70">
        <f t="shared" si="398"/>
        <v>8245.3140000000003</v>
      </c>
      <c r="AG396" s="70">
        <f t="shared" si="398"/>
        <v>8652.3960000000006</v>
      </c>
      <c r="AH396" s="70">
        <f t="shared" si="398"/>
        <v>11454.143999999998</v>
      </c>
      <c r="AI396" s="70">
        <f t="shared" si="398"/>
        <v>11498.4</v>
      </c>
      <c r="AJ396" s="70">
        <f t="shared" si="398"/>
        <v>10501.325999999999</v>
      </c>
      <c r="AK396" s="70">
        <f t="shared" si="398"/>
        <v>9874.08</v>
      </c>
      <c r="AL396" s="70">
        <f t="shared" si="398"/>
        <v>11054.555999999999</v>
      </c>
      <c r="AN396" s="111" t="s">
        <v>130</v>
      </c>
      <c r="AO396" s="113">
        <f t="shared" ref="AO396:AW396" si="400">H396/H393</f>
        <v>0.13423227139936383</v>
      </c>
      <c r="AP396" s="113">
        <f t="shared" si="400"/>
        <v>0.1348100256135282</v>
      </c>
      <c r="AQ396" s="113">
        <f t="shared" si="400"/>
        <v>0.11633632172019834</v>
      </c>
      <c r="AR396" s="113">
        <f t="shared" si="400"/>
        <v>0.11697532842037808</v>
      </c>
      <c r="AS396" s="113">
        <f t="shared" si="400"/>
        <v>0.15231204220195285</v>
      </c>
      <c r="AT396" s="113">
        <f t="shared" si="400"/>
        <v>0.14496188610814703</v>
      </c>
      <c r="AU396" s="113">
        <f t="shared" si="400"/>
        <v>0.12865765191796619</v>
      </c>
      <c r="AV396" s="113">
        <f t="shared" si="400"/>
        <v>0.12104504398481862</v>
      </c>
      <c r="AW396" s="113">
        <f t="shared" si="400"/>
        <v>0.13014447146330996</v>
      </c>
      <c r="AY396" s="111" t="s">
        <v>130</v>
      </c>
      <c r="AZ396" s="179">
        <f t="shared" si="395"/>
        <v>1.6913266196319842E-2</v>
      </c>
      <c r="BA396" s="179">
        <f t="shared" si="395"/>
        <v>1.9682263739575115E-2</v>
      </c>
      <c r="BB396" s="179">
        <f t="shared" si="395"/>
        <v>1.7915793544910547E-2</v>
      </c>
      <c r="BC396" s="179">
        <f t="shared" si="393"/>
        <v>1.8482101890419739E-2</v>
      </c>
      <c r="BD396" s="179">
        <f t="shared" si="393"/>
        <v>2.3760678583504644E-2</v>
      </c>
      <c r="BE396" s="179">
        <f t="shared" si="393"/>
        <v>2.3193901777303527E-2</v>
      </c>
      <c r="BF396" s="179">
        <f t="shared" si="393"/>
        <v>2.0842539610710521E-2</v>
      </c>
      <c r="BG396" s="179">
        <f t="shared" si="393"/>
        <v>1.9367207037570978E-2</v>
      </c>
      <c r="BH396" s="179">
        <f t="shared" si="393"/>
        <v>2.1083404377056213E-2</v>
      </c>
    </row>
    <row r="397" spans="2:68" s="108" customFormat="1" x14ac:dyDescent="0.25">
      <c r="B397" s="107"/>
      <c r="E397" s="109" t="s">
        <v>4</v>
      </c>
      <c r="F397" s="110" t="s">
        <v>65</v>
      </c>
      <c r="G397" s="111" t="s">
        <v>131</v>
      </c>
      <c r="H397" s="112">
        <v>138374</v>
      </c>
      <c r="I397" s="112">
        <v>145074</v>
      </c>
      <c r="J397" s="112">
        <v>168688</v>
      </c>
      <c r="K397" s="112">
        <v>158820</v>
      </c>
      <c r="L397" s="112">
        <v>171862</v>
      </c>
      <c r="M397" s="112">
        <v>184423</v>
      </c>
      <c r="N397" s="112">
        <v>194697</v>
      </c>
      <c r="O397" s="112">
        <v>211529</v>
      </c>
      <c r="P397" s="112">
        <v>229902</v>
      </c>
      <c r="R397" s="111" t="s">
        <v>131</v>
      </c>
      <c r="S397" s="220">
        <v>4.2</v>
      </c>
      <c r="T397" s="220">
        <v>5.0999999999999996</v>
      </c>
      <c r="U397" s="220">
        <v>3.9</v>
      </c>
      <c r="V397" s="220">
        <v>3.7</v>
      </c>
      <c r="W397" s="220">
        <v>4.5</v>
      </c>
      <c r="X397" s="220">
        <v>4.2</v>
      </c>
      <c r="Y397" s="220">
        <v>3.4</v>
      </c>
      <c r="Z397" s="220">
        <v>4.2</v>
      </c>
      <c r="AA397" s="220">
        <v>4.4000000000000004</v>
      </c>
      <c r="AC397" s="111" t="s">
        <v>131</v>
      </c>
      <c r="AD397" s="112">
        <f t="shared" si="365"/>
        <v>11623.416000000001</v>
      </c>
      <c r="AE397" s="112">
        <f t="shared" si="365"/>
        <v>14797.547999999999</v>
      </c>
      <c r="AF397" s="112">
        <f t="shared" si="398"/>
        <v>13157.663999999999</v>
      </c>
      <c r="AG397" s="112">
        <f t="shared" si="398"/>
        <v>11752.68</v>
      </c>
      <c r="AH397" s="112">
        <f t="shared" si="398"/>
        <v>15467.58</v>
      </c>
      <c r="AI397" s="112">
        <f t="shared" si="398"/>
        <v>15491.531999999999</v>
      </c>
      <c r="AJ397" s="112">
        <f t="shared" si="398"/>
        <v>13239.395999999999</v>
      </c>
      <c r="AK397" s="112">
        <f t="shared" si="398"/>
        <v>17768.436000000002</v>
      </c>
      <c r="AL397" s="112">
        <f t="shared" si="398"/>
        <v>20231.376</v>
      </c>
      <c r="AN397" s="111" t="s">
        <v>131</v>
      </c>
      <c r="AO397" s="113">
        <f t="shared" ref="AO397:AW397" si="401">H397/H393</f>
        <v>0.30952966808784776</v>
      </c>
      <c r="AP397" s="113">
        <f t="shared" si="401"/>
        <v>0.32144091606030256</v>
      </c>
      <c r="AQ397" s="113">
        <f t="shared" si="401"/>
        <v>0.36653296423930853</v>
      </c>
      <c r="AR397" s="113">
        <f t="shared" si="401"/>
        <v>0.33925024030759371</v>
      </c>
      <c r="AS397" s="113">
        <f t="shared" si="401"/>
        <v>0.35651356772869935</v>
      </c>
      <c r="AT397" s="113">
        <f t="shared" si="401"/>
        <v>0.37200731818997845</v>
      </c>
      <c r="AU397" s="113">
        <f t="shared" si="401"/>
        <v>0.38642547946673655</v>
      </c>
      <c r="AV397" s="113">
        <f t="shared" si="401"/>
        <v>0.4148969764727804</v>
      </c>
      <c r="AW397" s="113">
        <f t="shared" si="401"/>
        <v>0.43847232155628668</v>
      </c>
      <c r="AY397" s="111" t="s">
        <v>131</v>
      </c>
      <c r="AZ397" s="179">
        <f t="shared" si="395"/>
        <v>2.6000492119379211E-2</v>
      </c>
      <c r="BA397" s="179">
        <f t="shared" si="395"/>
        <v>3.278697343815086E-2</v>
      </c>
      <c r="BB397" s="179">
        <f t="shared" si="395"/>
        <v>2.8589571210666066E-2</v>
      </c>
      <c r="BC397" s="179">
        <f t="shared" si="393"/>
        <v>2.5104517782761935E-2</v>
      </c>
      <c r="BD397" s="179">
        <f t="shared" si="393"/>
        <v>3.2086221095582942E-2</v>
      </c>
      <c r="BE397" s="179">
        <f t="shared" si="393"/>
        <v>3.1248614727958191E-2</v>
      </c>
      <c r="BF397" s="179">
        <f t="shared" si="393"/>
        <v>2.6276932603738087E-2</v>
      </c>
      <c r="BG397" s="179">
        <f t="shared" si="393"/>
        <v>3.4851346023713557E-2</v>
      </c>
      <c r="BH397" s="179">
        <f t="shared" si="393"/>
        <v>3.8585564296953229E-2</v>
      </c>
    </row>
    <row r="398" spans="2:68" s="87" customFormat="1" x14ac:dyDescent="0.25">
      <c r="B398" s="84"/>
      <c r="C398" s="85"/>
      <c r="D398" s="85"/>
      <c r="E398" s="109" t="s">
        <v>5</v>
      </c>
      <c r="F398" s="110" t="s">
        <v>65</v>
      </c>
      <c r="G398" s="195" t="s">
        <v>7</v>
      </c>
      <c r="H398" s="69">
        <v>460448</v>
      </c>
      <c r="I398" s="69">
        <v>463784</v>
      </c>
      <c r="J398" s="69">
        <v>475114</v>
      </c>
      <c r="K398" s="69">
        <v>481844</v>
      </c>
      <c r="L398" s="69">
        <v>494491</v>
      </c>
      <c r="M398" s="69">
        <v>506346</v>
      </c>
      <c r="N398" s="69">
        <v>514758</v>
      </c>
      <c r="O398" s="69">
        <v>521994</v>
      </c>
      <c r="P398" s="69">
        <v>532257</v>
      </c>
      <c r="R398" s="195" t="s">
        <v>7</v>
      </c>
      <c r="S398" s="226">
        <v>1.8</v>
      </c>
      <c r="T398" s="226">
        <v>1</v>
      </c>
      <c r="U398" s="226">
        <v>0.9</v>
      </c>
      <c r="V398" s="226">
        <v>0.9</v>
      </c>
      <c r="W398" s="226">
        <v>1.1000000000000001</v>
      </c>
      <c r="X398" s="226">
        <v>1.1000000000000001</v>
      </c>
      <c r="Y398" s="226">
        <v>0.9</v>
      </c>
      <c r="Z398" s="226">
        <v>0.9</v>
      </c>
      <c r="AA398" s="226">
        <v>0.9</v>
      </c>
      <c r="AC398" s="195" t="s">
        <v>7</v>
      </c>
      <c r="AD398" s="69">
        <f t="shared" si="365"/>
        <v>16576.128000000001</v>
      </c>
      <c r="AE398" s="69">
        <f t="shared" si="365"/>
        <v>9275.68</v>
      </c>
      <c r="AF398" s="69">
        <f t="shared" si="398"/>
        <v>8552.0520000000015</v>
      </c>
      <c r="AG398" s="69">
        <f t="shared" si="398"/>
        <v>8673.1920000000009</v>
      </c>
      <c r="AH398" s="69">
        <f t="shared" si="398"/>
        <v>10878.802000000001</v>
      </c>
      <c r="AI398" s="69">
        <f t="shared" si="398"/>
        <v>11139.612000000001</v>
      </c>
      <c r="AJ398" s="69">
        <f t="shared" si="398"/>
        <v>9265.6440000000002</v>
      </c>
      <c r="AK398" s="69">
        <f t="shared" si="398"/>
        <v>9395.8919999999998</v>
      </c>
      <c r="AL398" s="69">
        <f t="shared" si="398"/>
        <v>9580.6260000000002</v>
      </c>
      <c r="AN398" s="195" t="s">
        <v>7</v>
      </c>
      <c r="AO398" s="98">
        <f t="shared" ref="AO398:AW398" si="402">H398/H398</f>
        <v>1</v>
      </c>
      <c r="AP398" s="98">
        <f t="shared" si="402"/>
        <v>1</v>
      </c>
      <c r="AQ398" s="98">
        <f t="shared" si="402"/>
        <v>1</v>
      </c>
      <c r="AR398" s="98">
        <f t="shared" si="402"/>
        <v>1</v>
      </c>
      <c r="AS398" s="98">
        <f t="shared" si="402"/>
        <v>1</v>
      </c>
      <c r="AT398" s="98">
        <f t="shared" si="402"/>
        <v>1</v>
      </c>
      <c r="AU398" s="98">
        <f t="shared" si="402"/>
        <v>1</v>
      </c>
      <c r="AV398" s="98">
        <f t="shared" si="402"/>
        <v>1</v>
      </c>
      <c r="AW398" s="98">
        <f t="shared" si="402"/>
        <v>1</v>
      </c>
      <c r="AX398" s="191"/>
      <c r="AY398" s="195" t="s">
        <v>7</v>
      </c>
      <c r="AZ398" s="178">
        <f t="shared" si="395"/>
        <v>3.6000000000000004E-2</v>
      </c>
      <c r="BA398" s="178">
        <f t="shared" si="395"/>
        <v>0.02</v>
      </c>
      <c r="BB398" s="178">
        <f t="shared" si="395"/>
        <v>1.8000000000000002E-2</v>
      </c>
      <c r="BC398" s="178">
        <f t="shared" si="393"/>
        <v>1.8000000000000002E-2</v>
      </c>
      <c r="BD398" s="178">
        <f t="shared" si="393"/>
        <v>2.2000000000000002E-2</v>
      </c>
      <c r="BE398" s="178">
        <f t="shared" si="393"/>
        <v>2.2000000000000002E-2</v>
      </c>
      <c r="BF398" s="178">
        <f t="shared" si="393"/>
        <v>1.8000000000000002E-2</v>
      </c>
      <c r="BG398" s="178">
        <f t="shared" si="393"/>
        <v>1.8000000000000002E-2</v>
      </c>
      <c r="BH398" s="178">
        <f t="shared" si="393"/>
        <v>1.8000000000000002E-2</v>
      </c>
      <c r="BI398" s="191"/>
      <c r="BJ398" s="191"/>
      <c r="BK398" s="191"/>
      <c r="BL398" s="191"/>
      <c r="BM398" s="191"/>
      <c r="BN398" s="191"/>
      <c r="BO398" s="191"/>
      <c r="BP398" s="191"/>
    </row>
    <row r="399" spans="2:68" s="108" customFormat="1" x14ac:dyDescent="0.25">
      <c r="B399" s="107"/>
      <c r="E399" s="109" t="s">
        <v>5</v>
      </c>
      <c r="F399" s="110" t="s">
        <v>65</v>
      </c>
      <c r="G399" s="111" t="s">
        <v>54</v>
      </c>
      <c r="H399" s="112">
        <v>102985</v>
      </c>
      <c r="I399" s="112">
        <v>103265</v>
      </c>
      <c r="J399" s="112">
        <v>90743</v>
      </c>
      <c r="K399" s="112">
        <v>98682</v>
      </c>
      <c r="L399" s="112">
        <v>86257</v>
      </c>
      <c r="M399" s="112">
        <v>95391</v>
      </c>
      <c r="N399" s="112">
        <v>77740</v>
      </c>
      <c r="O399" s="112">
        <v>86806</v>
      </c>
      <c r="P399" s="112">
        <v>84408</v>
      </c>
      <c r="R399" s="111" t="s">
        <v>54</v>
      </c>
      <c r="S399" s="220">
        <v>4.7</v>
      </c>
      <c r="T399" s="220">
        <v>5.5</v>
      </c>
      <c r="U399" s="220">
        <v>5.4</v>
      </c>
      <c r="V399" s="220">
        <v>5.3</v>
      </c>
      <c r="W399" s="220">
        <v>6.9</v>
      </c>
      <c r="X399" s="220">
        <v>6.5</v>
      </c>
      <c r="Y399" s="220">
        <v>7</v>
      </c>
      <c r="Z399" s="220">
        <v>6.8</v>
      </c>
      <c r="AA399" s="220">
        <v>7.3</v>
      </c>
      <c r="AC399" s="111" t="s">
        <v>54</v>
      </c>
      <c r="AD399" s="112">
        <f t="shared" si="365"/>
        <v>9680.59</v>
      </c>
      <c r="AE399" s="112">
        <f t="shared" si="365"/>
        <v>11359.15</v>
      </c>
      <c r="AF399" s="112">
        <f t="shared" si="398"/>
        <v>9800.2440000000006</v>
      </c>
      <c r="AG399" s="112">
        <f t="shared" si="398"/>
        <v>10460.291999999999</v>
      </c>
      <c r="AH399" s="112">
        <f t="shared" si="398"/>
        <v>11903.466</v>
      </c>
      <c r="AI399" s="112">
        <f t="shared" si="398"/>
        <v>12400.83</v>
      </c>
      <c r="AJ399" s="112">
        <f t="shared" si="398"/>
        <v>10883.6</v>
      </c>
      <c r="AK399" s="112">
        <f t="shared" si="398"/>
        <v>11805.615999999998</v>
      </c>
      <c r="AL399" s="112">
        <f t="shared" si="398"/>
        <v>12323.568000000001</v>
      </c>
      <c r="AN399" s="111" t="s">
        <v>54</v>
      </c>
      <c r="AO399" s="113">
        <f t="shared" ref="AO399:AW399" si="403">H399/H398</f>
        <v>0.22366260685245673</v>
      </c>
      <c r="AP399" s="113">
        <f t="shared" si="403"/>
        <v>0.22265753022958965</v>
      </c>
      <c r="AQ399" s="113">
        <f t="shared" si="403"/>
        <v>0.19099205664324773</v>
      </c>
      <c r="AR399" s="113">
        <f t="shared" si="403"/>
        <v>0.20480072388573894</v>
      </c>
      <c r="AS399" s="113">
        <f t="shared" si="403"/>
        <v>0.17443593513329869</v>
      </c>
      <c r="AT399" s="113">
        <f t="shared" si="403"/>
        <v>0.18839094216207888</v>
      </c>
      <c r="AU399" s="113">
        <f t="shared" si="403"/>
        <v>0.15102242218673628</v>
      </c>
      <c r="AV399" s="113">
        <f t="shared" si="403"/>
        <v>0.16629693061606071</v>
      </c>
      <c r="AW399" s="113">
        <f t="shared" si="403"/>
        <v>0.15858504444281615</v>
      </c>
      <c r="AY399" s="111" t="s">
        <v>54</v>
      </c>
      <c r="AZ399" s="179">
        <f t="shared" si="395"/>
        <v>2.1024285044130932E-2</v>
      </c>
      <c r="BA399" s="179">
        <f t="shared" si="395"/>
        <v>2.4492328325254862E-2</v>
      </c>
      <c r="BB399" s="179">
        <f t="shared" si="395"/>
        <v>2.0627142117470756E-2</v>
      </c>
      <c r="BC399" s="179">
        <f t="shared" si="393"/>
        <v>2.1708876731888326E-2</v>
      </c>
      <c r="BD399" s="179">
        <f t="shared" si="393"/>
        <v>2.4072159048395218E-2</v>
      </c>
      <c r="BE399" s="179">
        <f t="shared" si="393"/>
        <v>2.4490822481070252E-2</v>
      </c>
      <c r="BF399" s="179">
        <f t="shared" si="393"/>
        <v>2.1143139106143082E-2</v>
      </c>
      <c r="BG399" s="179">
        <f t="shared" si="393"/>
        <v>2.2616382563784256E-2</v>
      </c>
      <c r="BH399" s="179">
        <f t="shared" si="393"/>
        <v>2.3153416488651161E-2</v>
      </c>
    </row>
    <row r="400" spans="2:68" s="108" customFormat="1" x14ac:dyDescent="0.25">
      <c r="B400" s="107"/>
      <c r="E400" s="109" t="s">
        <v>5</v>
      </c>
      <c r="F400" s="110" t="s">
        <v>65</v>
      </c>
      <c r="G400" s="111" t="s">
        <v>55</v>
      </c>
      <c r="H400" s="70">
        <v>96443</v>
      </c>
      <c r="I400" s="70">
        <v>100826</v>
      </c>
      <c r="J400" s="70">
        <v>114728</v>
      </c>
      <c r="K400" s="70">
        <v>107147</v>
      </c>
      <c r="L400" s="70">
        <v>109404</v>
      </c>
      <c r="M400" s="70">
        <v>108871</v>
      </c>
      <c r="N400" s="70">
        <v>119523</v>
      </c>
      <c r="O400" s="112">
        <v>119902</v>
      </c>
      <c r="P400" s="112">
        <v>101357</v>
      </c>
      <c r="R400" s="111" t="s">
        <v>55</v>
      </c>
      <c r="S400" s="81">
        <v>4.8</v>
      </c>
      <c r="T400" s="81">
        <v>5.5</v>
      </c>
      <c r="U400" s="81">
        <v>5.3</v>
      </c>
      <c r="V400" s="81">
        <v>5.4</v>
      </c>
      <c r="W400" s="81">
        <v>6.4</v>
      </c>
      <c r="X400" s="81">
        <v>6.7</v>
      </c>
      <c r="Y400" s="81">
        <v>5.3</v>
      </c>
      <c r="Z400" s="81">
        <v>6.2</v>
      </c>
      <c r="AA400" s="81">
        <v>6.5</v>
      </c>
      <c r="AC400" s="111" t="s">
        <v>55</v>
      </c>
      <c r="AD400" s="70">
        <f t="shared" si="365"/>
        <v>9258.5279999999984</v>
      </c>
      <c r="AE400" s="70">
        <f t="shared" si="365"/>
        <v>11090.86</v>
      </c>
      <c r="AF400" s="70">
        <f t="shared" si="398"/>
        <v>12161.168</v>
      </c>
      <c r="AG400" s="70">
        <f t="shared" si="398"/>
        <v>11571.876</v>
      </c>
      <c r="AH400" s="70">
        <f t="shared" si="398"/>
        <v>14003.712000000001</v>
      </c>
      <c r="AI400" s="70">
        <f t="shared" si="398"/>
        <v>14588.714000000002</v>
      </c>
      <c r="AJ400" s="70">
        <f t="shared" si="398"/>
        <v>12669.438</v>
      </c>
      <c r="AK400" s="70">
        <f t="shared" si="398"/>
        <v>14867.848</v>
      </c>
      <c r="AL400" s="70">
        <f t="shared" si="398"/>
        <v>13176.41</v>
      </c>
      <c r="AN400" s="111" t="s">
        <v>55</v>
      </c>
      <c r="AO400" s="113">
        <f t="shared" ref="AO400:AW400" si="404">H400/H398</f>
        <v>0.20945470498297311</v>
      </c>
      <c r="AP400" s="113">
        <f t="shared" si="404"/>
        <v>0.21739861659738155</v>
      </c>
      <c r="AQ400" s="113">
        <f t="shared" si="404"/>
        <v>0.24147467765630987</v>
      </c>
      <c r="AR400" s="113">
        <f t="shared" si="404"/>
        <v>0.22236865043458048</v>
      </c>
      <c r="AS400" s="113">
        <f t="shared" si="404"/>
        <v>0.22124568495685462</v>
      </c>
      <c r="AT400" s="113">
        <f t="shared" si="404"/>
        <v>0.2150130543146386</v>
      </c>
      <c r="AU400" s="113">
        <f t="shared" si="404"/>
        <v>0.23219260312612916</v>
      </c>
      <c r="AV400" s="113">
        <f t="shared" si="404"/>
        <v>0.22969995823706785</v>
      </c>
      <c r="AW400" s="113">
        <f t="shared" si="404"/>
        <v>0.19042868388767081</v>
      </c>
      <c r="AY400" s="111" t="s">
        <v>55</v>
      </c>
      <c r="AZ400" s="179">
        <f t="shared" si="395"/>
        <v>2.0107651678365417E-2</v>
      </c>
      <c r="BA400" s="179">
        <f t="shared" si="395"/>
        <v>2.3913847825711973E-2</v>
      </c>
      <c r="BB400" s="179">
        <f t="shared" si="395"/>
        <v>2.5596315831568846E-2</v>
      </c>
      <c r="BC400" s="179">
        <f t="shared" si="393"/>
        <v>2.4015814246934695E-2</v>
      </c>
      <c r="BD400" s="179">
        <f t="shared" si="393"/>
        <v>2.8319447674477392E-2</v>
      </c>
      <c r="BE400" s="179">
        <f t="shared" si="393"/>
        <v>2.8811749278161575E-2</v>
      </c>
      <c r="BF400" s="179">
        <f t="shared" si="393"/>
        <v>2.4612415931369692E-2</v>
      </c>
      <c r="BG400" s="179">
        <f t="shared" si="393"/>
        <v>2.8482794821396415E-2</v>
      </c>
      <c r="BH400" s="179">
        <f t="shared" si="393"/>
        <v>2.4755728905397206E-2</v>
      </c>
    </row>
    <row r="401" spans="2:68" s="108" customFormat="1" x14ac:dyDescent="0.25">
      <c r="B401" s="107"/>
      <c r="E401" s="109" t="s">
        <v>5</v>
      </c>
      <c r="F401" s="110" t="s">
        <v>65</v>
      </c>
      <c r="G401" s="111" t="s">
        <v>130</v>
      </c>
      <c r="H401" s="70">
        <v>58994</v>
      </c>
      <c r="I401" s="70">
        <v>66768</v>
      </c>
      <c r="J401" s="70">
        <v>53482</v>
      </c>
      <c r="K401" s="70">
        <v>55285</v>
      </c>
      <c r="L401" s="70">
        <v>72615</v>
      </c>
      <c r="M401" s="70">
        <v>63354</v>
      </c>
      <c r="N401" s="70">
        <v>68234</v>
      </c>
      <c r="O401" s="112">
        <v>62031</v>
      </c>
      <c r="P401" s="112">
        <v>64548</v>
      </c>
      <c r="R401" s="111" t="s">
        <v>130</v>
      </c>
      <c r="S401" s="220">
        <v>6.5</v>
      </c>
      <c r="T401" s="220">
        <v>7.5</v>
      </c>
      <c r="U401" s="220">
        <v>7.7</v>
      </c>
      <c r="V401" s="220">
        <v>7.5</v>
      </c>
      <c r="W401" s="220">
        <v>7.8</v>
      </c>
      <c r="X401" s="220">
        <v>8.6</v>
      </c>
      <c r="Y401" s="220">
        <v>7.8</v>
      </c>
      <c r="Z401" s="220">
        <v>8</v>
      </c>
      <c r="AA401" s="220">
        <v>8.4</v>
      </c>
      <c r="AC401" s="111" t="s">
        <v>130</v>
      </c>
      <c r="AD401" s="70">
        <f t="shared" si="365"/>
        <v>7669.22</v>
      </c>
      <c r="AE401" s="70">
        <f t="shared" si="365"/>
        <v>10015.200000000001</v>
      </c>
      <c r="AF401" s="70">
        <f t="shared" si="398"/>
        <v>8236.228000000001</v>
      </c>
      <c r="AG401" s="70">
        <f t="shared" si="398"/>
        <v>8292.75</v>
      </c>
      <c r="AH401" s="70">
        <f t="shared" si="398"/>
        <v>11327.94</v>
      </c>
      <c r="AI401" s="70">
        <f t="shared" si="398"/>
        <v>10896.888000000001</v>
      </c>
      <c r="AJ401" s="70">
        <f t="shared" si="398"/>
        <v>10644.503999999999</v>
      </c>
      <c r="AK401" s="70">
        <f t="shared" si="398"/>
        <v>9924.9599999999991</v>
      </c>
      <c r="AL401" s="70">
        <f t="shared" si="398"/>
        <v>10844.064000000002</v>
      </c>
      <c r="AN401" s="111" t="s">
        <v>130</v>
      </c>
      <c r="AO401" s="113">
        <f t="shared" ref="AO401:AW401" si="405">H401/H398</f>
        <v>0.12812304538188896</v>
      </c>
      <c r="AP401" s="113">
        <f t="shared" si="405"/>
        <v>0.14396356924775328</v>
      </c>
      <c r="AQ401" s="113">
        <f t="shared" si="405"/>
        <v>0.11256666821015587</v>
      </c>
      <c r="AR401" s="113">
        <f t="shared" si="405"/>
        <v>0.11473630469612572</v>
      </c>
      <c r="AS401" s="113">
        <f t="shared" si="405"/>
        <v>0.14684797094385946</v>
      </c>
      <c r="AT401" s="113">
        <f t="shared" si="405"/>
        <v>0.12511997724875876</v>
      </c>
      <c r="AU401" s="113">
        <f t="shared" si="405"/>
        <v>0.1325554920953147</v>
      </c>
      <c r="AV401" s="113">
        <f t="shared" si="405"/>
        <v>0.11883469924941666</v>
      </c>
      <c r="AW401" s="113">
        <f t="shared" si="405"/>
        <v>0.12127224254448508</v>
      </c>
      <c r="AY401" s="111" t="s">
        <v>130</v>
      </c>
      <c r="AZ401" s="179">
        <f t="shared" si="395"/>
        <v>1.6655995899645563E-2</v>
      </c>
      <c r="BA401" s="179">
        <f t="shared" si="395"/>
        <v>2.1594535387162991E-2</v>
      </c>
      <c r="BB401" s="179">
        <f t="shared" si="395"/>
        <v>1.7335266904364002E-2</v>
      </c>
      <c r="BC401" s="179">
        <f t="shared" si="393"/>
        <v>1.7210445704418858E-2</v>
      </c>
      <c r="BD401" s="179">
        <f t="shared" si="393"/>
        <v>2.2908283467242073E-2</v>
      </c>
      <c r="BE401" s="179">
        <f t="shared" si="393"/>
        <v>2.1520636086786508E-2</v>
      </c>
      <c r="BF401" s="179">
        <f t="shared" si="393"/>
        <v>2.0678656766869089E-2</v>
      </c>
      <c r="BG401" s="179">
        <f t="shared" si="393"/>
        <v>1.9013551879906665E-2</v>
      </c>
      <c r="BH401" s="179">
        <f t="shared" si="393"/>
        <v>2.0373736747473496E-2</v>
      </c>
    </row>
    <row r="402" spans="2:68" s="108" customFormat="1" x14ac:dyDescent="0.25">
      <c r="B402" s="107"/>
      <c r="E402" s="109" t="s">
        <v>5</v>
      </c>
      <c r="F402" s="110" t="s">
        <v>65</v>
      </c>
      <c r="G402" s="111" t="s">
        <v>131</v>
      </c>
      <c r="H402" s="112">
        <v>201337</v>
      </c>
      <c r="I402" s="112">
        <v>189185</v>
      </c>
      <c r="J402" s="112">
        <v>215215</v>
      </c>
      <c r="K402" s="112">
        <v>219040</v>
      </c>
      <c r="L402" s="112">
        <v>225111</v>
      </c>
      <c r="M402" s="112">
        <v>237279</v>
      </c>
      <c r="N402" s="112">
        <v>247838</v>
      </c>
      <c r="O402" s="112">
        <v>253255</v>
      </c>
      <c r="P402" s="112">
        <v>281945</v>
      </c>
      <c r="R402" s="111" t="s">
        <v>131</v>
      </c>
      <c r="S402" s="220">
        <v>3.1</v>
      </c>
      <c r="T402" s="220">
        <v>3.9</v>
      </c>
      <c r="U402" s="220">
        <v>3.3</v>
      </c>
      <c r="V402" s="220">
        <v>3.2</v>
      </c>
      <c r="W402" s="220">
        <v>3.1</v>
      </c>
      <c r="X402" s="220">
        <v>3.5</v>
      </c>
      <c r="Y402" s="220">
        <v>2.7</v>
      </c>
      <c r="Z402" s="220">
        <v>3.6</v>
      </c>
      <c r="AA402" s="220">
        <v>3.8</v>
      </c>
      <c r="AC402" s="111" t="s">
        <v>131</v>
      </c>
      <c r="AD402" s="112">
        <f t="shared" si="365"/>
        <v>12482.894000000002</v>
      </c>
      <c r="AE402" s="112">
        <f t="shared" si="365"/>
        <v>14756.43</v>
      </c>
      <c r="AF402" s="112">
        <f t="shared" si="398"/>
        <v>14204.19</v>
      </c>
      <c r="AG402" s="112">
        <f t="shared" si="398"/>
        <v>14018.56</v>
      </c>
      <c r="AH402" s="112">
        <f t="shared" si="398"/>
        <v>13956.882</v>
      </c>
      <c r="AI402" s="112">
        <f t="shared" si="398"/>
        <v>16609.53</v>
      </c>
      <c r="AJ402" s="112">
        <f t="shared" si="398"/>
        <v>13383.252000000002</v>
      </c>
      <c r="AK402" s="112">
        <f t="shared" si="398"/>
        <v>18234.36</v>
      </c>
      <c r="AL402" s="112">
        <f t="shared" si="398"/>
        <v>21427.82</v>
      </c>
      <c r="AN402" s="111" t="s">
        <v>131</v>
      </c>
      <c r="AO402" s="113">
        <f t="shared" ref="AO402:AW402" si="406">H402/H398</f>
        <v>0.43726327402877196</v>
      </c>
      <c r="AP402" s="113">
        <f t="shared" si="406"/>
        <v>0.40791618512065964</v>
      </c>
      <c r="AQ402" s="113">
        <f t="shared" si="406"/>
        <v>0.45297549640717805</v>
      </c>
      <c r="AR402" s="113">
        <f t="shared" si="406"/>
        <v>0.45458696175525687</v>
      </c>
      <c r="AS402" s="113">
        <f t="shared" si="406"/>
        <v>0.45523781019270321</v>
      </c>
      <c r="AT402" s="113">
        <f t="shared" si="406"/>
        <v>0.46861039684326528</v>
      </c>
      <c r="AU402" s="113">
        <f t="shared" si="406"/>
        <v>0.48146507679336698</v>
      </c>
      <c r="AV402" s="113">
        <f t="shared" si="406"/>
        <v>0.48516841189745474</v>
      </c>
      <c r="AW402" s="113">
        <f t="shared" si="406"/>
        <v>0.52971590791666434</v>
      </c>
      <c r="AY402" s="111" t="s">
        <v>131</v>
      </c>
      <c r="AZ402" s="179">
        <f t="shared" si="395"/>
        <v>2.7110322989783865E-2</v>
      </c>
      <c r="BA402" s="179">
        <f t="shared" si="395"/>
        <v>3.1817462439411449E-2</v>
      </c>
      <c r="BB402" s="179">
        <f t="shared" si="395"/>
        <v>2.9896382762873749E-2</v>
      </c>
      <c r="BC402" s="179">
        <f t="shared" si="393"/>
        <v>2.9093565552336442E-2</v>
      </c>
      <c r="BD402" s="179">
        <f t="shared" si="393"/>
        <v>2.82247442319476E-2</v>
      </c>
      <c r="BE402" s="179">
        <f t="shared" si="393"/>
        <v>3.2802727779028568E-2</v>
      </c>
      <c r="BF402" s="179">
        <f t="shared" si="393"/>
        <v>2.5999114146841817E-2</v>
      </c>
      <c r="BG402" s="179">
        <f t="shared" si="393"/>
        <v>3.4932125656616742E-2</v>
      </c>
      <c r="BH402" s="179">
        <f t="shared" si="393"/>
        <v>4.0258409001666481E-2</v>
      </c>
    </row>
    <row r="403" spans="2:68" x14ac:dyDescent="0.3">
      <c r="H403" s="122" t="s">
        <v>122</v>
      </c>
      <c r="I403" s="122">
        <v>2003</v>
      </c>
      <c r="J403" s="122">
        <v>2005</v>
      </c>
      <c r="K403" s="122" t="s">
        <v>123</v>
      </c>
      <c r="L403" s="122" t="s">
        <v>124</v>
      </c>
      <c r="M403" s="122" t="s">
        <v>125</v>
      </c>
      <c r="N403" s="122" t="s">
        <v>126</v>
      </c>
      <c r="O403" s="122" t="s">
        <v>127</v>
      </c>
      <c r="P403" s="122" t="s">
        <v>128</v>
      </c>
      <c r="R403" s="111"/>
      <c r="S403" s="120" t="s">
        <v>122</v>
      </c>
      <c r="T403" s="121">
        <v>2003</v>
      </c>
      <c r="U403" s="121">
        <v>2005</v>
      </c>
      <c r="V403" s="122" t="s">
        <v>123</v>
      </c>
      <c r="W403" s="122" t="s">
        <v>124</v>
      </c>
      <c r="X403" s="122" t="s">
        <v>125</v>
      </c>
      <c r="Y403" s="122" t="s">
        <v>126</v>
      </c>
      <c r="Z403" s="122" t="s">
        <v>127</v>
      </c>
      <c r="AA403" s="122" t="s">
        <v>128</v>
      </c>
      <c r="AC403" s="197" t="s">
        <v>8</v>
      </c>
      <c r="AD403" s="120" t="s">
        <v>122</v>
      </c>
      <c r="AE403" s="121">
        <v>2003</v>
      </c>
      <c r="AF403" s="121">
        <v>2005</v>
      </c>
      <c r="AG403" s="122" t="s">
        <v>123</v>
      </c>
      <c r="AH403" s="122" t="s">
        <v>124</v>
      </c>
      <c r="AI403" s="122" t="s">
        <v>125</v>
      </c>
      <c r="AJ403" s="122" t="s">
        <v>126</v>
      </c>
      <c r="AK403" s="122" t="s">
        <v>127</v>
      </c>
      <c r="AL403" s="122" t="s">
        <v>128</v>
      </c>
      <c r="AN403" s="197" t="s">
        <v>8</v>
      </c>
      <c r="AO403" s="120" t="s">
        <v>122</v>
      </c>
      <c r="AP403" s="121">
        <v>2003</v>
      </c>
      <c r="AQ403" s="121">
        <v>2005</v>
      </c>
      <c r="AR403" s="122" t="s">
        <v>123</v>
      </c>
      <c r="AS403" s="122" t="s">
        <v>124</v>
      </c>
      <c r="AT403" s="122" t="s">
        <v>125</v>
      </c>
      <c r="AU403" s="122" t="s">
        <v>126</v>
      </c>
      <c r="AV403" s="122" t="s">
        <v>127</v>
      </c>
      <c r="AW403" s="122" t="s">
        <v>128</v>
      </c>
      <c r="AY403" s="197" t="s">
        <v>8</v>
      </c>
      <c r="AZ403" s="120" t="s">
        <v>122</v>
      </c>
      <c r="BA403" s="121">
        <v>2003</v>
      </c>
      <c r="BB403" s="121">
        <v>2005</v>
      </c>
      <c r="BC403" s="122" t="s">
        <v>123</v>
      </c>
      <c r="BD403" s="122" t="s">
        <v>124</v>
      </c>
      <c r="BE403" s="122" t="s">
        <v>125</v>
      </c>
      <c r="BF403" s="122" t="s">
        <v>126</v>
      </c>
      <c r="BG403" s="122" t="s">
        <v>127</v>
      </c>
      <c r="BH403" s="122" t="s">
        <v>128</v>
      </c>
    </row>
    <row r="404" spans="2:68" s="87" customFormat="1" x14ac:dyDescent="0.25">
      <c r="B404" s="84"/>
      <c r="C404" s="85"/>
      <c r="D404" s="85"/>
      <c r="E404" s="109" t="s">
        <v>0</v>
      </c>
      <c r="F404" s="110" t="s">
        <v>66</v>
      </c>
      <c r="G404" s="195" t="s">
        <v>7</v>
      </c>
      <c r="H404" s="69">
        <v>116731</v>
      </c>
      <c r="I404" s="69">
        <v>113539</v>
      </c>
      <c r="J404" s="69">
        <v>107659</v>
      </c>
      <c r="K404" s="69">
        <v>105266</v>
      </c>
      <c r="L404" s="69">
        <v>103808</v>
      </c>
      <c r="M404" s="69">
        <v>101061</v>
      </c>
      <c r="N404" s="69">
        <v>99945</v>
      </c>
      <c r="O404" s="69">
        <v>95203</v>
      </c>
      <c r="P404" s="69">
        <v>101449</v>
      </c>
      <c r="R404" s="195" t="s">
        <v>7</v>
      </c>
      <c r="S404" s="226">
        <v>1.4</v>
      </c>
      <c r="T404" s="226">
        <v>1.5</v>
      </c>
      <c r="U404" s="226">
        <v>1.4</v>
      </c>
      <c r="V404" s="226">
        <v>1.4</v>
      </c>
      <c r="W404" s="226">
        <v>1.5</v>
      </c>
      <c r="X404" s="226">
        <v>1.5</v>
      </c>
      <c r="Y404" s="226">
        <v>1.8</v>
      </c>
      <c r="Z404" s="226">
        <v>2</v>
      </c>
      <c r="AA404" s="226">
        <v>1.8</v>
      </c>
      <c r="AC404" s="195" t="s">
        <v>7</v>
      </c>
      <c r="AD404" s="69">
        <f>2*(H404*S404/100)</f>
        <v>3268.4679999999998</v>
      </c>
      <c r="AE404" s="69">
        <f t="shared" ref="AE404:AL436" si="407">2*(I404*T404/100)</f>
        <v>3406.17</v>
      </c>
      <c r="AF404" s="69">
        <f t="shared" si="407"/>
        <v>3014.4519999999993</v>
      </c>
      <c r="AG404" s="69">
        <f t="shared" si="407"/>
        <v>2947.4479999999999</v>
      </c>
      <c r="AH404" s="69">
        <f t="shared" si="407"/>
        <v>3114.24</v>
      </c>
      <c r="AI404" s="69">
        <f t="shared" si="407"/>
        <v>3031.83</v>
      </c>
      <c r="AJ404" s="69">
        <f t="shared" si="407"/>
        <v>3598.02</v>
      </c>
      <c r="AK404" s="69">
        <f>2*(O404*Z404/100)</f>
        <v>3808.12</v>
      </c>
      <c r="AL404" s="69">
        <f>2*(P404*AA404/100)</f>
        <v>3652.1640000000002</v>
      </c>
      <c r="AN404" s="195" t="s">
        <v>7</v>
      </c>
      <c r="AO404" s="98">
        <f t="shared" ref="AO404:AW404" si="408">H404/H404</f>
        <v>1</v>
      </c>
      <c r="AP404" s="98">
        <f t="shared" si="408"/>
        <v>1</v>
      </c>
      <c r="AQ404" s="98">
        <f t="shared" si="408"/>
        <v>1</v>
      </c>
      <c r="AR404" s="98">
        <f t="shared" si="408"/>
        <v>1</v>
      </c>
      <c r="AS404" s="98">
        <f t="shared" si="408"/>
        <v>1</v>
      </c>
      <c r="AT404" s="98">
        <f t="shared" si="408"/>
        <v>1</v>
      </c>
      <c r="AU404" s="98">
        <f t="shared" si="408"/>
        <v>1</v>
      </c>
      <c r="AV404" s="98">
        <f t="shared" si="408"/>
        <v>1</v>
      </c>
      <c r="AW404" s="98">
        <f t="shared" si="408"/>
        <v>1</v>
      </c>
      <c r="AX404" s="191"/>
      <c r="AY404" s="195" t="s">
        <v>7</v>
      </c>
      <c r="AZ404" s="178">
        <f t="shared" ref="AZ404:BH432" si="409">2*(S404*AO404/100)</f>
        <v>2.7999999999999997E-2</v>
      </c>
      <c r="BA404" s="178">
        <f t="shared" si="409"/>
        <v>0.03</v>
      </c>
      <c r="BB404" s="178">
        <f t="shared" si="409"/>
        <v>2.7999999999999997E-2</v>
      </c>
      <c r="BC404" s="178">
        <f t="shared" si="409"/>
        <v>2.7999999999999997E-2</v>
      </c>
      <c r="BD404" s="178">
        <f t="shared" si="409"/>
        <v>0.03</v>
      </c>
      <c r="BE404" s="178">
        <f t="shared" si="409"/>
        <v>0.03</v>
      </c>
      <c r="BF404" s="178">
        <f t="shared" si="409"/>
        <v>3.6000000000000004E-2</v>
      </c>
      <c r="BG404" s="178">
        <f t="shared" si="409"/>
        <v>0.04</v>
      </c>
      <c r="BH404" s="178">
        <f t="shared" si="409"/>
        <v>3.6000000000000004E-2</v>
      </c>
      <c r="BI404" s="191"/>
      <c r="BJ404" s="191"/>
      <c r="BK404" s="191"/>
      <c r="BL404" s="191"/>
      <c r="BM404" s="191"/>
      <c r="BN404" s="191"/>
      <c r="BO404" s="191"/>
      <c r="BP404" s="191"/>
    </row>
    <row r="405" spans="2:68" s="108" customFormat="1" x14ac:dyDescent="0.25">
      <c r="B405" s="107"/>
      <c r="E405" s="109" t="s">
        <v>0</v>
      </c>
      <c r="F405" s="110" t="s">
        <v>66</v>
      </c>
      <c r="G405" s="111" t="s">
        <v>54</v>
      </c>
      <c r="H405" s="112">
        <v>24046</v>
      </c>
      <c r="I405" s="112">
        <v>17381</v>
      </c>
      <c r="J405" s="112">
        <v>14122</v>
      </c>
      <c r="K405" s="112">
        <v>19034</v>
      </c>
      <c r="L405" s="112">
        <v>13400</v>
      </c>
      <c r="M405" s="112">
        <v>11995</v>
      </c>
      <c r="N405" s="112">
        <v>10005</v>
      </c>
      <c r="O405" s="112">
        <v>7857</v>
      </c>
      <c r="P405" s="112" t="s">
        <v>129</v>
      </c>
      <c r="R405" s="111" t="s">
        <v>54</v>
      </c>
      <c r="S405" s="220">
        <v>7.8</v>
      </c>
      <c r="T405" s="220">
        <v>10.6</v>
      </c>
      <c r="U405" s="220">
        <v>11</v>
      </c>
      <c r="V405" s="220">
        <v>9.4</v>
      </c>
      <c r="W405" s="220">
        <v>13.9</v>
      </c>
      <c r="X405" s="220">
        <v>16.600000000000001</v>
      </c>
      <c r="Y405" s="220">
        <v>15.9</v>
      </c>
      <c r="Z405" s="220">
        <v>23.2</v>
      </c>
      <c r="AA405" s="220" t="s">
        <v>129</v>
      </c>
      <c r="AC405" s="111" t="s">
        <v>54</v>
      </c>
      <c r="AD405" s="112">
        <f>2*(H405*S405/100)</f>
        <v>3751.1759999999999</v>
      </c>
      <c r="AE405" s="112">
        <f t="shared" si="407"/>
        <v>3684.7719999999999</v>
      </c>
      <c r="AF405" s="112">
        <f t="shared" si="407"/>
        <v>3106.84</v>
      </c>
      <c r="AG405" s="112">
        <f t="shared" si="407"/>
        <v>3578.3920000000003</v>
      </c>
      <c r="AH405" s="112">
        <f t="shared" si="407"/>
        <v>3725.2</v>
      </c>
      <c r="AI405" s="112">
        <f t="shared" si="407"/>
        <v>3982.3400000000006</v>
      </c>
      <c r="AJ405" s="112">
        <f t="shared" si="407"/>
        <v>3181.59</v>
      </c>
      <c r="AK405" s="112">
        <f t="shared" si="407"/>
        <v>3645.6479999999997</v>
      </c>
      <c r="AL405" s="112" t="e">
        <f t="shared" si="407"/>
        <v>#VALUE!</v>
      </c>
      <c r="AN405" s="111" t="s">
        <v>54</v>
      </c>
      <c r="AO405" s="113">
        <f t="shared" ref="AO405:AW405" si="410">H405/H404</f>
        <v>0.2059949799110776</v>
      </c>
      <c r="AP405" s="113">
        <f t="shared" si="410"/>
        <v>0.15308396233893198</v>
      </c>
      <c r="AQ405" s="113">
        <f t="shared" si="410"/>
        <v>0.13117342720998709</v>
      </c>
      <c r="AR405" s="113">
        <f t="shared" si="410"/>
        <v>0.18081811791081639</v>
      </c>
      <c r="AS405" s="113">
        <f t="shared" si="410"/>
        <v>0.12908446362515413</v>
      </c>
      <c r="AT405" s="113">
        <f t="shared" si="410"/>
        <v>0.11869069176042192</v>
      </c>
      <c r="AU405" s="113">
        <f t="shared" si="410"/>
        <v>0.10010505778177999</v>
      </c>
      <c r="AV405" s="113">
        <f t="shared" si="410"/>
        <v>8.2528911904036634E-2</v>
      </c>
      <c r="AW405" s="113" t="e">
        <f t="shared" si="410"/>
        <v>#VALUE!</v>
      </c>
      <c r="AY405" s="111" t="s">
        <v>54</v>
      </c>
      <c r="AZ405" s="179">
        <f t="shared" si="409"/>
        <v>3.2135216866128101E-2</v>
      </c>
      <c r="BA405" s="179">
        <f t="shared" si="409"/>
        <v>3.245380001585358E-2</v>
      </c>
      <c r="BB405" s="179">
        <f t="shared" si="409"/>
        <v>2.885815398619716E-2</v>
      </c>
      <c r="BC405" s="179">
        <f t="shared" si="409"/>
        <v>3.3993806167233485E-2</v>
      </c>
      <c r="BD405" s="179">
        <f t="shared" si="409"/>
        <v>3.5885480887792851E-2</v>
      </c>
      <c r="BE405" s="179">
        <f t="shared" si="409"/>
        <v>3.9405309664460077E-2</v>
      </c>
      <c r="BF405" s="179">
        <f t="shared" si="409"/>
        <v>3.1833408374606041E-2</v>
      </c>
      <c r="BG405" s="179">
        <f t="shared" si="409"/>
        <v>3.8293415123472993E-2</v>
      </c>
      <c r="BH405" s="179" t="e">
        <f t="shared" si="409"/>
        <v>#VALUE!</v>
      </c>
    </row>
    <row r="406" spans="2:68" s="108" customFormat="1" x14ac:dyDescent="0.25">
      <c r="B406" s="107"/>
      <c r="E406" s="109" t="s">
        <v>0</v>
      </c>
      <c r="F406" s="110" t="s">
        <v>66</v>
      </c>
      <c r="G406" s="111" t="s">
        <v>55</v>
      </c>
      <c r="H406" s="70">
        <v>3826</v>
      </c>
      <c r="I406" s="112" t="s">
        <v>129</v>
      </c>
      <c r="J406" s="112" t="s">
        <v>129</v>
      </c>
      <c r="K406" s="112" t="s">
        <v>129</v>
      </c>
      <c r="L406" s="112" t="s">
        <v>129</v>
      </c>
      <c r="M406" s="112" t="s">
        <v>129</v>
      </c>
      <c r="N406" s="112" t="s">
        <v>129</v>
      </c>
      <c r="O406" s="112" t="s">
        <v>129</v>
      </c>
      <c r="P406" s="112" t="s">
        <v>129</v>
      </c>
      <c r="R406" s="111" t="s">
        <v>55</v>
      </c>
      <c r="S406" s="81">
        <v>24.5</v>
      </c>
      <c r="T406" s="81" t="s">
        <v>129</v>
      </c>
      <c r="U406" s="81" t="s">
        <v>129</v>
      </c>
      <c r="V406" s="81" t="s">
        <v>129</v>
      </c>
      <c r="W406" s="81" t="s">
        <v>129</v>
      </c>
      <c r="X406" s="81" t="s">
        <v>129</v>
      </c>
      <c r="Y406" s="81" t="s">
        <v>129</v>
      </c>
      <c r="Z406" s="81" t="s">
        <v>129</v>
      </c>
      <c r="AA406" s="81" t="s">
        <v>129</v>
      </c>
      <c r="AC406" s="111" t="s">
        <v>55</v>
      </c>
      <c r="AD406" s="70">
        <f t="shared" ref="AD406:AE443" si="411">2*(H406*S406/100)</f>
        <v>1874.74</v>
      </c>
      <c r="AE406" s="70" t="e">
        <f t="shared" si="407"/>
        <v>#VALUE!</v>
      </c>
      <c r="AF406" s="70" t="e">
        <f t="shared" si="407"/>
        <v>#VALUE!</v>
      </c>
      <c r="AG406" s="70" t="e">
        <f t="shared" si="407"/>
        <v>#VALUE!</v>
      </c>
      <c r="AH406" s="70" t="e">
        <f t="shared" si="407"/>
        <v>#VALUE!</v>
      </c>
      <c r="AI406" s="70" t="e">
        <f t="shared" si="407"/>
        <v>#VALUE!</v>
      </c>
      <c r="AJ406" s="70" t="e">
        <f t="shared" si="407"/>
        <v>#VALUE!</v>
      </c>
      <c r="AK406" s="70" t="e">
        <f t="shared" si="407"/>
        <v>#VALUE!</v>
      </c>
      <c r="AL406" s="70" t="e">
        <f t="shared" si="407"/>
        <v>#VALUE!</v>
      </c>
      <c r="AN406" s="111" t="s">
        <v>55</v>
      </c>
      <c r="AO406" s="113">
        <f t="shared" ref="AO406:AW406" si="412">H406/H404</f>
        <v>3.2776211974539754E-2</v>
      </c>
      <c r="AP406" s="113" t="e">
        <f t="shared" si="412"/>
        <v>#VALUE!</v>
      </c>
      <c r="AQ406" s="113" t="e">
        <f t="shared" si="412"/>
        <v>#VALUE!</v>
      </c>
      <c r="AR406" s="113" t="e">
        <f t="shared" si="412"/>
        <v>#VALUE!</v>
      </c>
      <c r="AS406" s="113" t="e">
        <f t="shared" si="412"/>
        <v>#VALUE!</v>
      </c>
      <c r="AT406" s="113" t="e">
        <f t="shared" si="412"/>
        <v>#VALUE!</v>
      </c>
      <c r="AU406" s="113" t="e">
        <f t="shared" si="412"/>
        <v>#VALUE!</v>
      </c>
      <c r="AV406" s="113" t="e">
        <f t="shared" si="412"/>
        <v>#VALUE!</v>
      </c>
      <c r="AW406" s="113" t="e">
        <f t="shared" si="412"/>
        <v>#VALUE!</v>
      </c>
      <c r="AY406" s="111" t="s">
        <v>55</v>
      </c>
      <c r="AZ406" s="179">
        <f t="shared" si="409"/>
        <v>1.6060343867524481E-2</v>
      </c>
      <c r="BA406" s="179" t="e">
        <f t="shared" si="409"/>
        <v>#VALUE!</v>
      </c>
      <c r="BB406" s="179" t="e">
        <f t="shared" si="409"/>
        <v>#VALUE!</v>
      </c>
      <c r="BC406" s="179" t="e">
        <f t="shared" si="409"/>
        <v>#VALUE!</v>
      </c>
      <c r="BD406" s="179" t="e">
        <f t="shared" si="409"/>
        <v>#VALUE!</v>
      </c>
      <c r="BE406" s="179" t="e">
        <f t="shared" si="409"/>
        <v>#VALUE!</v>
      </c>
      <c r="BF406" s="179" t="e">
        <f t="shared" si="409"/>
        <v>#VALUE!</v>
      </c>
      <c r="BG406" s="179" t="e">
        <f t="shared" si="409"/>
        <v>#VALUE!</v>
      </c>
      <c r="BH406" s="179" t="e">
        <f t="shared" si="409"/>
        <v>#VALUE!</v>
      </c>
    </row>
    <row r="407" spans="2:68" s="108" customFormat="1" x14ac:dyDescent="0.25">
      <c r="B407" s="107"/>
      <c r="E407" s="109" t="s">
        <v>0</v>
      </c>
      <c r="F407" s="110" t="s">
        <v>66</v>
      </c>
      <c r="G407" s="111" t="s">
        <v>130</v>
      </c>
      <c r="H407" s="70">
        <v>14189</v>
      </c>
      <c r="I407" s="70">
        <v>13612</v>
      </c>
      <c r="J407" s="70">
        <v>10004</v>
      </c>
      <c r="K407" s="70">
        <v>10748</v>
      </c>
      <c r="L407" s="70">
        <v>9662</v>
      </c>
      <c r="M407" s="70">
        <v>5902</v>
      </c>
      <c r="N407" s="70">
        <v>7562</v>
      </c>
      <c r="O407" s="112" t="s">
        <v>129</v>
      </c>
      <c r="P407" s="112">
        <v>9904</v>
      </c>
      <c r="R407" s="111" t="s">
        <v>130</v>
      </c>
      <c r="S407" s="220">
        <v>10.9</v>
      </c>
      <c r="T407" s="220">
        <v>12.5</v>
      </c>
      <c r="U407" s="220">
        <v>13.5</v>
      </c>
      <c r="V407" s="220">
        <v>13.4</v>
      </c>
      <c r="W407" s="220">
        <v>17.2</v>
      </c>
      <c r="X407" s="220">
        <v>25.3</v>
      </c>
      <c r="Y407" s="220">
        <v>20.7</v>
      </c>
      <c r="Z407" s="220" t="s">
        <v>129</v>
      </c>
      <c r="AA407" s="220">
        <v>20.6</v>
      </c>
      <c r="AC407" s="111" t="s">
        <v>130</v>
      </c>
      <c r="AD407" s="70">
        <f t="shared" si="411"/>
        <v>3093.2020000000002</v>
      </c>
      <c r="AE407" s="70">
        <f t="shared" si="407"/>
        <v>3403</v>
      </c>
      <c r="AF407" s="70">
        <f t="shared" si="407"/>
        <v>2701.08</v>
      </c>
      <c r="AG407" s="70">
        <f t="shared" si="407"/>
        <v>2880.4640000000004</v>
      </c>
      <c r="AH407" s="70">
        <f t="shared" si="407"/>
        <v>3323.7280000000001</v>
      </c>
      <c r="AI407" s="70">
        <f t="shared" si="407"/>
        <v>2986.4120000000003</v>
      </c>
      <c r="AJ407" s="70">
        <f t="shared" si="407"/>
        <v>3130.6679999999997</v>
      </c>
      <c r="AK407" s="70" t="e">
        <f t="shared" si="407"/>
        <v>#VALUE!</v>
      </c>
      <c r="AL407" s="70">
        <f t="shared" si="407"/>
        <v>4080.4480000000003</v>
      </c>
      <c r="AN407" s="111" t="s">
        <v>130</v>
      </c>
      <c r="AO407" s="113">
        <f t="shared" ref="AO407:AW407" si="413">H407/H404</f>
        <v>0.12155297221817683</v>
      </c>
      <c r="AP407" s="113">
        <f t="shared" si="413"/>
        <v>0.11988832031284405</v>
      </c>
      <c r="AQ407" s="113">
        <f t="shared" si="413"/>
        <v>9.2923025478594448E-2</v>
      </c>
      <c r="AR407" s="113">
        <f t="shared" si="413"/>
        <v>0.10210324321243326</v>
      </c>
      <c r="AS407" s="113">
        <f t="shared" si="413"/>
        <v>9.3075678175092477E-2</v>
      </c>
      <c r="AT407" s="113">
        <f t="shared" si="413"/>
        <v>5.8400372052522735E-2</v>
      </c>
      <c r="AU407" s="113">
        <f t="shared" si="413"/>
        <v>7.5661613887638202E-2</v>
      </c>
      <c r="AV407" s="113" t="e">
        <f t="shared" si="413"/>
        <v>#VALUE!</v>
      </c>
      <c r="AW407" s="113">
        <f t="shared" si="413"/>
        <v>9.7625407840392711E-2</v>
      </c>
      <c r="AY407" s="111" t="s">
        <v>130</v>
      </c>
      <c r="AZ407" s="179">
        <f t="shared" si="409"/>
        <v>2.6498547943562548E-2</v>
      </c>
      <c r="BA407" s="179">
        <f t="shared" si="409"/>
        <v>2.9972080078211012E-2</v>
      </c>
      <c r="BB407" s="179">
        <f t="shared" si="409"/>
        <v>2.5089216879220499E-2</v>
      </c>
      <c r="BC407" s="179">
        <f t="shared" si="409"/>
        <v>2.7363669180932117E-2</v>
      </c>
      <c r="BD407" s="179">
        <f t="shared" si="409"/>
        <v>3.2018033292231809E-2</v>
      </c>
      <c r="BE407" s="179">
        <f t="shared" si="409"/>
        <v>2.9550588258576503E-2</v>
      </c>
      <c r="BF407" s="179">
        <f t="shared" si="409"/>
        <v>3.1323908149482216E-2</v>
      </c>
      <c r="BG407" s="179" t="e">
        <f t="shared" si="409"/>
        <v>#VALUE!</v>
      </c>
      <c r="BH407" s="179">
        <f t="shared" si="409"/>
        <v>4.0221668030241797E-2</v>
      </c>
    </row>
    <row r="408" spans="2:68" s="108" customFormat="1" x14ac:dyDescent="0.25">
      <c r="B408" s="107"/>
      <c r="E408" s="109" t="s">
        <v>0</v>
      </c>
      <c r="F408" s="110" t="s">
        <v>66</v>
      </c>
      <c r="G408" s="111" t="s">
        <v>131</v>
      </c>
      <c r="H408" s="112">
        <v>74642</v>
      </c>
      <c r="I408" s="112">
        <v>79558</v>
      </c>
      <c r="J408" s="112">
        <v>80479</v>
      </c>
      <c r="K408" s="112">
        <v>73853</v>
      </c>
      <c r="L408" s="112">
        <v>77274</v>
      </c>
      <c r="M408" s="112">
        <v>81928</v>
      </c>
      <c r="N408" s="112">
        <v>80118</v>
      </c>
      <c r="O408" s="112">
        <v>80179</v>
      </c>
      <c r="P408" s="112">
        <v>81150</v>
      </c>
      <c r="R408" s="111" t="s">
        <v>131</v>
      </c>
      <c r="S408" s="220">
        <v>4.9000000000000004</v>
      </c>
      <c r="T408" s="220">
        <v>3</v>
      </c>
      <c r="U408" s="220">
        <v>3.6</v>
      </c>
      <c r="V408" s="220">
        <v>2.9</v>
      </c>
      <c r="W408" s="220">
        <v>3.3</v>
      </c>
      <c r="X408" s="220">
        <v>3.6</v>
      </c>
      <c r="Y408" s="220">
        <v>3.4</v>
      </c>
      <c r="Z408" s="220">
        <v>2.2000000000000002</v>
      </c>
      <c r="AA408" s="220">
        <v>4</v>
      </c>
      <c r="AC408" s="111" t="s">
        <v>131</v>
      </c>
      <c r="AD408" s="112">
        <f t="shared" si="411"/>
        <v>7314.9160000000011</v>
      </c>
      <c r="AE408" s="112">
        <f t="shared" si="407"/>
        <v>4773.4799999999996</v>
      </c>
      <c r="AF408" s="112">
        <f t="shared" si="407"/>
        <v>5794.4880000000003</v>
      </c>
      <c r="AG408" s="112">
        <f t="shared" si="407"/>
        <v>4283.4739999999993</v>
      </c>
      <c r="AH408" s="112">
        <f t="shared" si="407"/>
        <v>5100.0839999999998</v>
      </c>
      <c r="AI408" s="112">
        <f t="shared" si="407"/>
        <v>5898.8159999999998</v>
      </c>
      <c r="AJ408" s="112">
        <f t="shared" si="407"/>
        <v>5448.0240000000003</v>
      </c>
      <c r="AK408" s="112">
        <f t="shared" si="407"/>
        <v>3527.8760000000002</v>
      </c>
      <c r="AL408" s="112">
        <f t="shared" si="407"/>
        <v>6492</v>
      </c>
      <c r="AN408" s="111" t="s">
        <v>131</v>
      </c>
      <c r="AO408" s="113">
        <f t="shared" ref="AO408:AW408" si="414">H408/H404</f>
        <v>0.63943596816612558</v>
      </c>
      <c r="AP408" s="113">
        <f t="shared" si="414"/>
        <v>0.7007107689868679</v>
      </c>
      <c r="AQ408" s="113">
        <f t="shared" si="414"/>
        <v>0.747536202268273</v>
      </c>
      <c r="AR408" s="113">
        <f t="shared" si="414"/>
        <v>0.70158455721695512</v>
      </c>
      <c r="AS408" s="113">
        <f t="shared" si="414"/>
        <v>0.74439349568434032</v>
      </c>
      <c r="AT408" s="113">
        <f t="shared" si="414"/>
        <v>0.81067869900357215</v>
      </c>
      <c r="AU408" s="113">
        <f t="shared" si="414"/>
        <v>0.80162089149031968</v>
      </c>
      <c r="AV408" s="113">
        <f t="shared" si="414"/>
        <v>0.84218984695860422</v>
      </c>
      <c r="AW408" s="113">
        <f t="shared" si="414"/>
        <v>0.79990931403956667</v>
      </c>
      <c r="AY408" s="111" t="s">
        <v>131</v>
      </c>
      <c r="AZ408" s="179">
        <f t="shared" si="409"/>
        <v>6.2664724880280312E-2</v>
      </c>
      <c r="BA408" s="179">
        <f t="shared" si="409"/>
        <v>4.2042646139212075E-2</v>
      </c>
      <c r="BB408" s="179">
        <f t="shared" si="409"/>
        <v>5.3822606563315653E-2</v>
      </c>
      <c r="BC408" s="179">
        <f t="shared" si="409"/>
        <v>4.069190431858339E-2</v>
      </c>
      <c r="BD408" s="179">
        <f t="shared" si="409"/>
        <v>4.9129970715166456E-2</v>
      </c>
      <c r="BE408" s="179">
        <f t="shared" si="409"/>
        <v>5.8368866328257198E-2</v>
      </c>
      <c r="BF408" s="179">
        <f t="shared" si="409"/>
        <v>5.4510220621341733E-2</v>
      </c>
      <c r="BG408" s="179">
        <f t="shared" si="409"/>
        <v>3.7056353266178593E-2</v>
      </c>
      <c r="BH408" s="179">
        <f t="shared" si="409"/>
        <v>6.3992745123165329E-2</v>
      </c>
    </row>
    <row r="409" spans="2:68" s="87" customFormat="1" x14ac:dyDescent="0.25">
      <c r="B409" s="84"/>
      <c r="C409" s="85"/>
      <c r="D409" s="85"/>
      <c r="E409" s="109" t="s">
        <v>1</v>
      </c>
      <c r="F409" s="110" t="s">
        <v>66</v>
      </c>
      <c r="G409" s="195" t="s">
        <v>7</v>
      </c>
      <c r="H409" s="69">
        <v>132308</v>
      </c>
      <c r="I409" s="69">
        <v>130515</v>
      </c>
      <c r="J409" s="69">
        <v>130027</v>
      </c>
      <c r="K409" s="69">
        <v>132910</v>
      </c>
      <c r="L409" s="69">
        <v>139970</v>
      </c>
      <c r="M409" s="69">
        <v>144022</v>
      </c>
      <c r="N409" s="69">
        <v>151917</v>
      </c>
      <c r="O409" s="69">
        <v>143031</v>
      </c>
      <c r="P409" s="69">
        <v>137910</v>
      </c>
      <c r="R409" s="195" t="s">
        <v>7</v>
      </c>
      <c r="S409" s="226">
        <v>1.2</v>
      </c>
      <c r="T409" s="226">
        <v>1.2</v>
      </c>
      <c r="U409" s="226">
        <v>1.3</v>
      </c>
      <c r="V409" s="226">
        <v>1.3</v>
      </c>
      <c r="W409" s="226">
        <v>1.5</v>
      </c>
      <c r="X409" s="226">
        <v>1.6</v>
      </c>
      <c r="Y409" s="226">
        <v>1.4</v>
      </c>
      <c r="Z409" s="226">
        <v>1.8</v>
      </c>
      <c r="AA409" s="226">
        <v>1.7</v>
      </c>
      <c r="AC409" s="195" t="s">
        <v>7</v>
      </c>
      <c r="AD409" s="69">
        <f t="shared" si="411"/>
        <v>3175.3920000000003</v>
      </c>
      <c r="AE409" s="69">
        <f t="shared" si="407"/>
        <v>3132.36</v>
      </c>
      <c r="AF409" s="69">
        <f t="shared" si="407"/>
        <v>3380.7020000000002</v>
      </c>
      <c r="AG409" s="69">
        <f t="shared" si="407"/>
        <v>3455.66</v>
      </c>
      <c r="AH409" s="69">
        <f t="shared" si="407"/>
        <v>4199.1000000000004</v>
      </c>
      <c r="AI409" s="69">
        <f t="shared" si="407"/>
        <v>4608.7040000000006</v>
      </c>
      <c r="AJ409" s="69">
        <f t="shared" si="407"/>
        <v>4253.6759999999995</v>
      </c>
      <c r="AK409" s="69">
        <f t="shared" si="407"/>
        <v>5149.116</v>
      </c>
      <c r="AL409" s="69">
        <f t="shared" si="407"/>
        <v>4688.9399999999996</v>
      </c>
      <c r="AN409" s="195" t="s">
        <v>7</v>
      </c>
      <c r="AO409" s="98">
        <f t="shared" ref="AO409:AW409" si="415">H409/H409</f>
        <v>1</v>
      </c>
      <c r="AP409" s="98">
        <f t="shared" si="415"/>
        <v>1</v>
      </c>
      <c r="AQ409" s="98">
        <f t="shared" si="415"/>
        <v>1</v>
      </c>
      <c r="AR409" s="98">
        <f t="shared" si="415"/>
        <v>1</v>
      </c>
      <c r="AS409" s="98">
        <f t="shared" si="415"/>
        <v>1</v>
      </c>
      <c r="AT409" s="98">
        <f t="shared" si="415"/>
        <v>1</v>
      </c>
      <c r="AU409" s="98">
        <f t="shared" si="415"/>
        <v>1</v>
      </c>
      <c r="AV409" s="98">
        <f t="shared" si="415"/>
        <v>1</v>
      </c>
      <c r="AW409" s="98">
        <f t="shared" si="415"/>
        <v>1</v>
      </c>
      <c r="AX409" s="191"/>
      <c r="AY409" s="195" t="s">
        <v>7</v>
      </c>
      <c r="AZ409" s="178">
        <f t="shared" si="409"/>
        <v>2.4E-2</v>
      </c>
      <c r="BA409" s="178">
        <f t="shared" si="409"/>
        <v>2.4E-2</v>
      </c>
      <c r="BB409" s="178">
        <f t="shared" si="409"/>
        <v>2.6000000000000002E-2</v>
      </c>
      <c r="BC409" s="178">
        <f t="shared" si="409"/>
        <v>2.6000000000000002E-2</v>
      </c>
      <c r="BD409" s="178">
        <f t="shared" si="409"/>
        <v>0.03</v>
      </c>
      <c r="BE409" s="178">
        <f t="shared" si="409"/>
        <v>3.2000000000000001E-2</v>
      </c>
      <c r="BF409" s="178">
        <f t="shared" si="409"/>
        <v>2.7999999999999997E-2</v>
      </c>
      <c r="BG409" s="178">
        <f t="shared" si="409"/>
        <v>3.6000000000000004E-2</v>
      </c>
      <c r="BH409" s="178">
        <f t="shared" si="409"/>
        <v>3.4000000000000002E-2</v>
      </c>
      <c r="BI409" s="191"/>
      <c r="BJ409" s="191"/>
      <c r="BK409" s="191"/>
      <c r="BL409" s="191"/>
      <c r="BM409" s="191"/>
      <c r="BN409" s="191"/>
      <c r="BO409" s="191"/>
      <c r="BP409" s="191"/>
    </row>
    <row r="410" spans="2:68" s="108" customFormat="1" x14ac:dyDescent="0.25">
      <c r="B410" s="107"/>
      <c r="E410" s="109" t="s">
        <v>1</v>
      </c>
      <c r="F410" s="110" t="s">
        <v>66</v>
      </c>
      <c r="G410" s="111" t="s">
        <v>54</v>
      </c>
      <c r="H410" s="112">
        <v>49772</v>
      </c>
      <c r="I410" s="112">
        <v>41374</v>
      </c>
      <c r="J410" s="112">
        <v>44273</v>
      </c>
      <c r="K410" s="112">
        <v>42664</v>
      </c>
      <c r="L410" s="112">
        <v>36087</v>
      </c>
      <c r="M410" s="112">
        <v>41771</v>
      </c>
      <c r="N410" s="112">
        <v>39761</v>
      </c>
      <c r="O410" s="112">
        <v>34361</v>
      </c>
      <c r="P410" s="112">
        <v>36350</v>
      </c>
      <c r="R410" s="111" t="s">
        <v>54</v>
      </c>
      <c r="S410" s="220">
        <v>5.0999999999999996</v>
      </c>
      <c r="T410" s="220">
        <v>6.3</v>
      </c>
      <c r="U410" s="220">
        <v>5.7</v>
      </c>
      <c r="V410" s="220">
        <v>5.9</v>
      </c>
      <c r="W410" s="220">
        <v>7.8</v>
      </c>
      <c r="X410" s="220">
        <v>7.9</v>
      </c>
      <c r="Y410" s="220">
        <v>8.1999999999999993</v>
      </c>
      <c r="Z410" s="220">
        <v>10.9</v>
      </c>
      <c r="AA410" s="220">
        <v>10.9</v>
      </c>
      <c r="AC410" s="111" t="s">
        <v>54</v>
      </c>
      <c r="AD410" s="112">
        <f t="shared" si="411"/>
        <v>5076.7439999999997</v>
      </c>
      <c r="AE410" s="112">
        <f t="shared" si="407"/>
        <v>5213.1239999999998</v>
      </c>
      <c r="AF410" s="112">
        <f t="shared" si="407"/>
        <v>5047.1220000000003</v>
      </c>
      <c r="AG410" s="112">
        <f t="shared" si="407"/>
        <v>5034.3519999999999</v>
      </c>
      <c r="AH410" s="112">
        <f t="shared" si="407"/>
        <v>5629.5719999999992</v>
      </c>
      <c r="AI410" s="112">
        <f t="shared" si="407"/>
        <v>6599.8180000000002</v>
      </c>
      <c r="AJ410" s="112">
        <f t="shared" si="407"/>
        <v>6520.8039999999992</v>
      </c>
      <c r="AK410" s="112">
        <f t="shared" si="407"/>
        <v>7490.6980000000003</v>
      </c>
      <c r="AL410" s="112">
        <f t="shared" si="407"/>
        <v>7924.3</v>
      </c>
      <c r="AN410" s="111" t="s">
        <v>54</v>
      </c>
      <c r="AO410" s="113">
        <f t="shared" ref="AO410:AW410" si="416">H410/H409</f>
        <v>0.37618284608640445</v>
      </c>
      <c r="AP410" s="113">
        <f t="shared" si="416"/>
        <v>0.31700570815615065</v>
      </c>
      <c r="AQ410" s="113">
        <f t="shared" si="416"/>
        <v>0.34049082113714846</v>
      </c>
      <c r="AR410" s="113">
        <f t="shared" si="416"/>
        <v>0.32099917237228198</v>
      </c>
      <c r="AS410" s="113">
        <f t="shared" si="416"/>
        <v>0.25781953275701935</v>
      </c>
      <c r="AT410" s="113">
        <f t="shared" si="416"/>
        <v>0.2900320784324617</v>
      </c>
      <c r="AU410" s="113">
        <f t="shared" si="416"/>
        <v>0.26172844382129717</v>
      </c>
      <c r="AV410" s="113">
        <f t="shared" si="416"/>
        <v>0.2402346344498745</v>
      </c>
      <c r="AW410" s="113">
        <f t="shared" si="416"/>
        <v>0.2635776955985788</v>
      </c>
      <c r="AY410" s="111" t="s">
        <v>54</v>
      </c>
      <c r="AZ410" s="179">
        <f t="shared" si="409"/>
        <v>3.8370650300813255E-2</v>
      </c>
      <c r="BA410" s="179">
        <f t="shared" si="409"/>
        <v>3.9942719227674978E-2</v>
      </c>
      <c r="BB410" s="179">
        <f t="shared" si="409"/>
        <v>3.8815953609634926E-2</v>
      </c>
      <c r="BC410" s="179">
        <f t="shared" si="409"/>
        <v>3.7877902339929277E-2</v>
      </c>
      <c r="BD410" s="179">
        <f t="shared" si="409"/>
        <v>4.0219847110095019E-2</v>
      </c>
      <c r="BE410" s="179">
        <f t="shared" si="409"/>
        <v>4.5825068392328951E-2</v>
      </c>
      <c r="BF410" s="179">
        <f t="shared" si="409"/>
        <v>4.2923464786692733E-2</v>
      </c>
      <c r="BG410" s="179">
        <f t="shared" si="409"/>
        <v>5.2371150310072646E-2</v>
      </c>
      <c r="BH410" s="179">
        <f t="shared" si="409"/>
        <v>5.7459937640490184E-2</v>
      </c>
    </row>
    <row r="411" spans="2:68" s="108" customFormat="1" x14ac:dyDescent="0.25">
      <c r="B411" s="107"/>
      <c r="E411" s="109" t="s">
        <v>1</v>
      </c>
      <c r="F411" s="110" t="s">
        <v>66</v>
      </c>
      <c r="G411" s="111" t="s">
        <v>55</v>
      </c>
      <c r="H411" s="70">
        <v>17615</v>
      </c>
      <c r="I411" s="70">
        <v>17007</v>
      </c>
      <c r="J411" s="70">
        <v>18621</v>
      </c>
      <c r="K411" s="70">
        <v>24234</v>
      </c>
      <c r="L411" s="70">
        <v>16870</v>
      </c>
      <c r="M411" s="112">
        <v>18936</v>
      </c>
      <c r="N411" s="112">
        <v>20540</v>
      </c>
      <c r="O411" s="112">
        <v>15583</v>
      </c>
      <c r="P411" s="112">
        <v>10313</v>
      </c>
      <c r="R411" s="111" t="s">
        <v>55</v>
      </c>
      <c r="S411" s="81">
        <v>9.8000000000000007</v>
      </c>
      <c r="T411" s="81">
        <v>10.9</v>
      </c>
      <c r="U411" s="81">
        <v>10.199999999999999</v>
      </c>
      <c r="V411" s="81">
        <v>8.4</v>
      </c>
      <c r="W411" s="81">
        <v>12.6</v>
      </c>
      <c r="X411" s="81">
        <v>13</v>
      </c>
      <c r="Y411" s="81">
        <v>11.9</v>
      </c>
      <c r="Z411" s="81">
        <v>15.4</v>
      </c>
      <c r="AA411" s="81">
        <v>20</v>
      </c>
      <c r="AC411" s="111" t="s">
        <v>55</v>
      </c>
      <c r="AD411" s="70">
        <f t="shared" si="411"/>
        <v>3452.54</v>
      </c>
      <c r="AE411" s="70">
        <f t="shared" si="407"/>
        <v>3707.5260000000003</v>
      </c>
      <c r="AF411" s="70">
        <f t="shared" si="407"/>
        <v>3798.6839999999997</v>
      </c>
      <c r="AG411" s="70">
        <f t="shared" si="407"/>
        <v>4071.3119999999999</v>
      </c>
      <c r="AH411" s="70">
        <f t="shared" si="407"/>
        <v>4251.24</v>
      </c>
      <c r="AI411" s="70">
        <f t="shared" si="407"/>
        <v>4923.3599999999997</v>
      </c>
      <c r="AJ411" s="70">
        <f t="shared" si="407"/>
        <v>4888.5200000000004</v>
      </c>
      <c r="AK411" s="70">
        <f t="shared" si="407"/>
        <v>4799.5640000000003</v>
      </c>
      <c r="AL411" s="70">
        <f t="shared" si="407"/>
        <v>4125.2</v>
      </c>
      <c r="AN411" s="111" t="s">
        <v>55</v>
      </c>
      <c r="AO411" s="113">
        <f t="shared" ref="AO411:AW411" si="417">H411/H409</f>
        <v>0.13313631828763189</v>
      </c>
      <c r="AP411" s="113">
        <f t="shared" si="417"/>
        <v>0.1303068612803126</v>
      </c>
      <c r="AQ411" s="113">
        <f t="shared" si="417"/>
        <v>0.14320871818929914</v>
      </c>
      <c r="AR411" s="113">
        <f t="shared" si="417"/>
        <v>0.18233391016477316</v>
      </c>
      <c r="AS411" s="113">
        <f t="shared" si="417"/>
        <v>0.12052582696292062</v>
      </c>
      <c r="AT411" s="113">
        <f t="shared" si="417"/>
        <v>0.13147991279110136</v>
      </c>
      <c r="AU411" s="113">
        <f t="shared" si="417"/>
        <v>0.13520540821632865</v>
      </c>
      <c r="AV411" s="113">
        <f t="shared" si="417"/>
        <v>0.1089484097852913</v>
      </c>
      <c r="AW411" s="113">
        <f t="shared" si="417"/>
        <v>7.4780654049742587E-2</v>
      </c>
      <c r="AY411" s="111" t="s">
        <v>55</v>
      </c>
      <c r="AZ411" s="179">
        <f t="shared" si="409"/>
        <v>2.6094718384375853E-2</v>
      </c>
      <c r="BA411" s="179">
        <f t="shared" si="409"/>
        <v>2.8406895759108149E-2</v>
      </c>
      <c r="BB411" s="179">
        <f t="shared" si="409"/>
        <v>2.9214578510617022E-2</v>
      </c>
      <c r="BC411" s="179">
        <f t="shared" si="409"/>
        <v>3.0632096907681889E-2</v>
      </c>
      <c r="BD411" s="179">
        <f t="shared" si="409"/>
        <v>3.0372508394655995E-2</v>
      </c>
      <c r="BE411" s="179">
        <f t="shared" si="409"/>
        <v>3.4184777325686352E-2</v>
      </c>
      <c r="BF411" s="179">
        <f t="shared" si="409"/>
        <v>3.2178887155486217E-2</v>
      </c>
      <c r="BG411" s="179">
        <f t="shared" si="409"/>
        <v>3.3556110213869721E-2</v>
      </c>
      <c r="BH411" s="179">
        <f t="shared" si="409"/>
        <v>2.9912261619897035E-2</v>
      </c>
    </row>
    <row r="412" spans="2:68" s="108" customFormat="1" x14ac:dyDescent="0.25">
      <c r="B412" s="107"/>
      <c r="E412" s="109" t="s">
        <v>1</v>
      </c>
      <c r="F412" s="110" t="s">
        <v>66</v>
      </c>
      <c r="G412" s="111" t="s">
        <v>130</v>
      </c>
      <c r="H412" s="70">
        <v>18685</v>
      </c>
      <c r="I412" s="70">
        <v>21628</v>
      </c>
      <c r="J412" s="70">
        <v>20712</v>
      </c>
      <c r="K412" s="70">
        <v>14836</v>
      </c>
      <c r="L412" s="70">
        <v>21389</v>
      </c>
      <c r="M412" s="70">
        <v>18358</v>
      </c>
      <c r="N412" s="70">
        <v>18410</v>
      </c>
      <c r="O412" s="112">
        <v>26468</v>
      </c>
      <c r="P412" s="112">
        <v>21037</v>
      </c>
      <c r="R412" s="111" t="s">
        <v>130</v>
      </c>
      <c r="S412" s="220">
        <v>9.6</v>
      </c>
      <c r="T412" s="220">
        <v>9.6</v>
      </c>
      <c r="U412" s="220">
        <v>9.4</v>
      </c>
      <c r="V412" s="220">
        <v>11.3</v>
      </c>
      <c r="W412" s="220">
        <v>11</v>
      </c>
      <c r="X412" s="220">
        <v>13</v>
      </c>
      <c r="Y412" s="220">
        <v>12.5</v>
      </c>
      <c r="Z412" s="220">
        <v>11.6</v>
      </c>
      <c r="AA412" s="220">
        <v>13.1</v>
      </c>
      <c r="AC412" s="111" t="s">
        <v>130</v>
      </c>
      <c r="AD412" s="70">
        <f t="shared" si="411"/>
        <v>3587.52</v>
      </c>
      <c r="AE412" s="70">
        <f t="shared" si="407"/>
        <v>4152.576</v>
      </c>
      <c r="AF412" s="70">
        <f t="shared" si="407"/>
        <v>3893.8560000000002</v>
      </c>
      <c r="AG412" s="70">
        <f t="shared" si="407"/>
        <v>3352.9360000000001</v>
      </c>
      <c r="AH412" s="70">
        <f t="shared" si="407"/>
        <v>4705.58</v>
      </c>
      <c r="AI412" s="70">
        <f t="shared" si="407"/>
        <v>4773.08</v>
      </c>
      <c r="AJ412" s="70">
        <f t="shared" si="407"/>
        <v>4602.5</v>
      </c>
      <c r="AK412" s="70">
        <f t="shared" si="407"/>
        <v>6140.576</v>
      </c>
      <c r="AL412" s="70">
        <f t="shared" si="407"/>
        <v>5511.6940000000004</v>
      </c>
      <c r="AN412" s="111" t="s">
        <v>130</v>
      </c>
      <c r="AO412" s="113">
        <f t="shared" ref="AO412:AW412" si="418">H412/H409</f>
        <v>0.14122350878253773</v>
      </c>
      <c r="AP412" s="113">
        <f t="shared" si="418"/>
        <v>0.16571275332337279</v>
      </c>
      <c r="AQ412" s="113">
        <f t="shared" si="418"/>
        <v>0.15928999361671037</v>
      </c>
      <c r="AR412" s="113">
        <f t="shared" si="418"/>
        <v>0.11162440749379279</v>
      </c>
      <c r="AS412" s="113">
        <f t="shared" si="418"/>
        <v>0.15281131671072373</v>
      </c>
      <c r="AT412" s="113">
        <f t="shared" si="418"/>
        <v>0.12746663704156311</v>
      </c>
      <c r="AU412" s="113">
        <f t="shared" si="418"/>
        <v>0.12118459421921181</v>
      </c>
      <c r="AV412" s="113">
        <f t="shared" si="418"/>
        <v>0.18505079318469422</v>
      </c>
      <c r="AW412" s="113">
        <f t="shared" si="418"/>
        <v>0.15254151258066856</v>
      </c>
      <c r="AY412" s="111" t="s">
        <v>130</v>
      </c>
      <c r="AZ412" s="179">
        <f t="shared" si="409"/>
        <v>2.711491368624724E-2</v>
      </c>
      <c r="BA412" s="179">
        <f t="shared" si="409"/>
        <v>3.1816848638087578E-2</v>
      </c>
      <c r="BB412" s="179">
        <f t="shared" si="409"/>
        <v>2.9946518799941549E-2</v>
      </c>
      <c r="BC412" s="179">
        <f t="shared" si="409"/>
        <v>2.5227116093597176E-2</v>
      </c>
      <c r="BD412" s="179">
        <f t="shared" si="409"/>
        <v>3.361848967635922E-2</v>
      </c>
      <c r="BE412" s="179">
        <f t="shared" si="409"/>
        <v>3.3141325630806406E-2</v>
      </c>
      <c r="BF412" s="179">
        <f t="shared" si="409"/>
        <v>3.0296148554802952E-2</v>
      </c>
      <c r="BG412" s="179">
        <f t="shared" si="409"/>
        <v>4.2931784018849062E-2</v>
      </c>
      <c r="BH412" s="179">
        <f t="shared" si="409"/>
        <v>3.9965876296135162E-2</v>
      </c>
    </row>
    <row r="413" spans="2:68" s="108" customFormat="1" x14ac:dyDescent="0.25">
      <c r="B413" s="107"/>
      <c r="E413" s="109" t="s">
        <v>1</v>
      </c>
      <c r="F413" s="110" t="s">
        <v>66</v>
      </c>
      <c r="G413" s="111" t="s">
        <v>131</v>
      </c>
      <c r="H413" s="112">
        <v>46236</v>
      </c>
      <c r="I413" s="112">
        <v>50506</v>
      </c>
      <c r="J413" s="112">
        <v>46331</v>
      </c>
      <c r="K413" s="112">
        <v>51176</v>
      </c>
      <c r="L413" s="112">
        <v>65624</v>
      </c>
      <c r="M413" s="112">
        <v>64957</v>
      </c>
      <c r="N413" s="112">
        <v>73207</v>
      </c>
      <c r="O413" s="112">
        <v>66619</v>
      </c>
      <c r="P413" s="112">
        <v>70210</v>
      </c>
      <c r="R413" s="111" t="s">
        <v>131</v>
      </c>
      <c r="S413" s="220">
        <v>6.1</v>
      </c>
      <c r="T413" s="220">
        <v>5.4</v>
      </c>
      <c r="U413" s="220">
        <v>5.7</v>
      </c>
      <c r="V413" s="220">
        <v>4.9000000000000004</v>
      </c>
      <c r="W413" s="220">
        <v>5.0999999999999996</v>
      </c>
      <c r="X413" s="220">
        <v>5.8</v>
      </c>
      <c r="Y413" s="220">
        <v>5</v>
      </c>
      <c r="Z413" s="220">
        <v>6.1</v>
      </c>
      <c r="AA413" s="220">
        <v>5.5</v>
      </c>
      <c r="AC413" s="111" t="s">
        <v>131</v>
      </c>
      <c r="AD413" s="112">
        <f t="shared" si="411"/>
        <v>5640.7919999999995</v>
      </c>
      <c r="AE413" s="112">
        <f t="shared" si="407"/>
        <v>5454.6480000000001</v>
      </c>
      <c r="AF413" s="112">
        <f t="shared" si="407"/>
        <v>5281.7340000000004</v>
      </c>
      <c r="AG413" s="112">
        <f t="shared" si="407"/>
        <v>5015.2480000000005</v>
      </c>
      <c r="AH413" s="112">
        <f t="shared" si="407"/>
        <v>6693.6479999999992</v>
      </c>
      <c r="AI413" s="112">
        <f t="shared" si="407"/>
        <v>7535.0119999999997</v>
      </c>
      <c r="AJ413" s="112">
        <f t="shared" si="407"/>
        <v>7320.7</v>
      </c>
      <c r="AK413" s="112">
        <f t="shared" si="407"/>
        <v>8127.5179999999991</v>
      </c>
      <c r="AL413" s="112">
        <f t="shared" si="407"/>
        <v>7723.1</v>
      </c>
      <c r="AN413" s="111" t="s">
        <v>131</v>
      </c>
      <c r="AO413" s="113">
        <f t="shared" ref="AO413:AW413" si="419">H413/H409</f>
        <v>0.34945732684342595</v>
      </c>
      <c r="AP413" s="113">
        <f t="shared" si="419"/>
        <v>0.38697467724016399</v>
      </c>
      <c r="AQ413" s="113">
        <f t="shared" si="419"/>
        <v>0.35631830312165935</v>
      </c>
      <c r="AR413" s="113">
        <f t="shared" si="419"/>
        <v>0.38504250996915207</v>
      </c>
      <c r="AS413" s="113">
        <f t="shared" si="419"/>
        <v>0.46884332356933628</v>
      </c>
      <c r="AT413" s="113">
        <f t="shared" si="419"/>
        <v>0.45102137173487383</v>
      </c>
      <c r="AU413" s="113">
        <f t="shared" si="419"/>
        <v>0.48188813628494509</v>
      </c>
      <c r="AV413" s="113">
        <f t="shared" si="419"/>
        <v>0.46576616258013998</v>
      </c>
      <c r="AW413" s="113">
        <f t="shared" si="419"/>
        <v>0.50910013777101004</v>
      </c>
      <c r="AY413" s="111" t="s">
        <v>131</v>
      </c>
      <c r="AZ413" s="179">
        <f t="shared" si="409"/>
        <v>4.2633793874897963E-2</v>
      </c>
      <c r="BA413" s="179">
        <f t="shared" si="409"/>
        <v>4.1793265141937715E-2</v>
      </c>
      <c r="BB413" s="179">
        <f t="shared" si="409"/>
        <v>4.0620286555869169E-2</v>
      </c>
      <c r="BC413" s="179">
        <f t="shared" si="409"/>
        <v>3.7734165976976902E-2</v>
      </c>
      <c r="BD413" s="179">
        <f t="shared" si="409"/>
        <v>4.7822019004072291E-2</v>
      </c>
      <c r="BE413" s="179">
        <f t="shared" si="409"/>
        <v>5.2318479121245362E-2</v>
      </c>
      <c r="BF413" s="179">
        <f t="shared" si="409"/>
        <v>4.818881362849451E-2</v>
      </c>
      <c r="BG413" s="179">
        <f t="shared" si="409"/>
        <v>5.6823471834777074E-2</v>
      </c>
      <c r="BH413" s="179">
        <f t="shared" si="409"/>
        <v>5.600101515481111E-2</v>
      </c>
    </row>
    <row r="414" spans="2:68" s="87" customFormat="1" x14ac:dyDescent="0.25">
      <c r="B414" s="84"/>
      <c r="C414" s="85"/>
      <c r="D414" s="85"/>
      <c r="E414" s="109" t="s">
        <v>2</v>
      </c>
      <c r="F414" s="110" t="s">
        <v>66</v>
      </c>
      <c r="G414" s="195" t="s">
        <v>7</v>
      </c>
      <c r="H414" s="69">
        <v>209024</v>
      </c>
      <c r="I414" s="69">
        <v>195945</v>
      </c>
      <c r="J414" s="69">
        <v>180082</v>
      </c>
      <c r="K414" s="69">
        <v>174179</v>
      </c>
      <c r="L414" s="69">
        <v>176757</v>
      </c>
      <c r="M414" s="69">
        <v>185049</v>
      </c>
      <c r="N414" s="69">
        <v>200478</v>
      </c>
      <c r="O414" s="69">
        <v>231315</v>
      </c>
      <c r="P414" s="69">
        <v>239644</v>
      </c>
      <c r="R414" s="195" t="s">
        <v>7</v>
      </c>
      <c r="S414" s="226">
        <v>1</v>
      </c>
      <c r="T414" s="226">
        <v>3.5</v>
      </c>
      <c r="U414" s="226">
        <v>1.2</v>
      </c>
      <c r="V414" s="226">
        <v>1.2</v>
      </c>
      <c r="W414" s="226">
        <v>1.2</v>
      </c>
      <c r="X414" s="226">
        <v>1.5</v>
      </c>
      <c r="Y414" s="226">
        <v>1.3</v>
      </c>
      <c r="Z414" s="226">
        <v>1.3</v>
      </c>
      <c r="AA414" s="226">
        <v>1</v>
      </c>
      <c r="AC414" s="195" t="s">
        <v>7</v>
      </c>
      <c r="AD414" s="69">
        <f t="shared" si="411"/>
        <v>4180.4799999999996</v>
      </c>
      <c r="AE414" s="69">
        <f t="shared" si="407"/>
        <v>13716.15</v>
      </c>
      <c r="AF414" s="69">
        <f t="shared" si="407"/>
        <v>4321.9679999999998</v>
      </c>
      <c r="AG414" s="69">
        <f t="shared" si="407"/>
        <v>4180.2959999999994</v>
      </c>
      <c r="AH414" s="69">
        <f t="shared" si="407"/>
        <v>4242.1679999999997</v>
      </c>
      <c r="AI414" s="69">
        <f t="shared" si="407"/>
        <v>5551.47</v>
      </c>
      <c r="AJ414" s="69">
        <f t="shared" si="407"/>
        <v>5212.4280000000008</v>
      </c>
      <c r="AK414" s="69">
        <f t="shared" si="407"/>
        <v>6014.19</v>
      </c>
      <c r="AL414" s="69">
        <f t="shared" si="407"/>
        <v>4792.88</v>
      </c>
      <c r="AN414" s="195" t="s">
        <v>7</v>
      </c>
      <c r="AO414" s="98">
        <f t="shared" ref="AO414:AW414" si="420">H414/H414</f>
        <v>1</v>
      </c>
      <c r="AP414" s="98">
        <f t="shared" si="420"/>
        <v>1</v>
      </c>
      <c r="AQ414" s="98">
        <f t="shared" si="420"/>
        <v>1</v>
      </c>
      <c r="AR414" s="98">
        <f t="shared" si="420"/>
        <v>1</v>
      </c>
      <c r="AS414" s="98">
        <f t="shared" si="420"/>
        <v>1</v>
      </c>
      <c r="AT414" s="98">
        <f t="shared" si="420"/>
        <v>1</v>
      </c>
      <c r="AU414" s="98">
        <f t="shared" si="420"/>
        <v>1</v>
      </c>
      <c r="AV414" s="98">
        <f t="shared" si="420"/>
        <v>1</v>
      </c>
      <c r="AW414" s="98">
        <f t="shared" si="420"/>
        <v>1</v>
      </c>
      <c r="AX414" s="191"/>
      <c r="AY414" s="195" t="s">
        <v>7</v>
      </c>
      <c r="AZ414" s="178">
        <f t="shared" si="409"/>
        <v>0.02</v>
      </c>
      <c r="BA414" s="178">
        <f t="shared" si="409"/>
        <v>7.0000000000000007E-2</v>
      </c>
      <c r="BB414" s="178">
        <f t="shared" si="409"/>
        <v>2.4E-2</v>
      </c>
      <c r="BC414" s="178">
        <f t="shared" si="409"/>
        <v>2.4E-2</v>
      </c>
      <c r="BD414" s="178">
        <f t="shared" si="409"/>
        <v>2.4E-2</v>
      </c>
      <c r="BE414" s="178">
        <f t="shared" si="409"/>
        <v>0.03</v>
      </c>
      <c r="BF414" s="178">
        <f t="shared" si="409"/>
        <v>2.6000000000000002E-2</v>
      </c>
      <c r="BG414" s="178">
        <f t="shared" si="409"/>
        <v>2.6000000000000002E-2</v>
      </c>
      <c r="BH414" s="178">
        <f t="shared" si="409"/>
        <v>0.02</v>
      </c>
      <c r="BI414" s="191"/>
      <c r="BJ414" s="191"/>
      <c r="BK414" s="191"/>
      <c r="BL414" s="191"/>
      <c r="BM414" s="191"/>
      <c r="BN414" s="191"/>
      <c r="BO414" s="191"/>
      <c r="BP414" s="191"/>
    </row>
    <row r="415" spans="2:68" s="108" customFormat="1" x14ac:dyDescent="0.25">
      <c r="B415" s="107"/>
      <c r="E415" s="109" t="s">
        <v>2</v>
      </c>
      <c r="F415" s="110" t="s">
        <v>66</v>
      </c>
      <c r="G415" s="111" t="s">
        <v>54</v>
      </c>
      <c r="H415" s="112">
        <v>72856</v>
      </c>
      <c r="I415" s="112">
        <v>66622</v>
      </c>
      <c r="J415" s="112">
        <v>50906</v>
      </c>
      <c r="K415" s="112">
        <v>53156</v>
      </c>
      <c r="L415" s="112">
        <v>50295</v>
      </c>
      <c r="M415" s="112">
        <v>45095</v>
      </c>
      <c r="N415" s="112">
        <v>53809</v>
      </c>
      <c r="O415" s="112">
        <v>53326</v>
      </c>
      <c r="P415" s="112">
        <v>52549</v>
      </c>
      <c r="R415" s="111" t="s">
        <v>54</v>
      </c>
      <c r="S415" s="220">
        <v>4.0999999999999996</v>
      </c>
      <c r="T415" s="220">
        <v>4.9000000000000004</v>
      </c>
      <c r="U415" s="220">
        <v>5.4</v>
      </c>
      <c r="V415" s="220">
        <v>5.0999999999999996</v>
      </c>
      <c r="W415" s="220">
        <v>6.5</v>
      </c>
      <c r="X415" s="220">
        <v>7.7</v>
      </c>
      <c r="Y415" s="220">
        <v>6.6</v>
      </c>
      <c r="Z415" s="220">
        <v>8</v>
      </c>
      <c r="AA415" s="220">
        <v>8.1999999999999993</v>
      </c>
      <c r="AC415" s="111" t="s">
        <v>54</v>
      </c>
      <c r="AD415" s="112">
        <f t="shared" si="411"/>
        <v>5974.1919999999991</v>
      </c>
      <c r="AE415" s="112">
        <f t="shared" si="407"/>
        <v>6528.956000000001</v>
      </c>
      <c r="AF415" s="112">
        <f t="shared" si="407"/>
        <v>5497.8480000000009</v>
      </c>
      <c r="AG415" s="112">
        <f t="shared" si="407"/>
        <v>5421.9119999999994</v>
      </c>
      <c r="AH415" s="112">
        <f t="shared" si="407"/>
        <v>6538.35</v>
      </c>
      <c r="AI415" s="112">
        <f t="shared" si="407"/>
        <v>6944.63</v>
      </c>
      <c r="AJ415" s="112">
        <f t="shared" si="407"/>
        <v>7102.7879999999996</v>
      </c>
      <c r="AK415" s="112">
        <f t="shared" si="407"/>
        <v>8532.16</v>
      </c>
      <c r="AL415" s="112">
        <f t="shared" si="407"/>
        <v>8618.0360000000001</v>
      </c>
      <c r="AN415" s="111" t="s">
        <v>54</v>
      </c>
      <c r="AO415" s="113">
        <f t="shared" ref="AO415:AW415" si="421">H415/H414</f>
        <v>0.34855327617881199</v>
      </c>
      <c r="AP415" s="113">
        <f t="shared" si="421"/>
        <v>0.34000357243103935</v>
      </c>
      <c r="AQ415" s="113">
        <f t="shared" si="421"/>
        <v>0.28268233360358058</v>
      </c>
      <c r="AR415" s="113">
        <f t="shared" si="421"/>
        <v>0.3051803030216042</v>
      </c>
      <c r="AS415" s="113">
        <f t="shared" si="421"/>
        <v>0.28454318640845905</v>
      </c>
      <c r="AT415" s="113">
        <f t="shared" si="421"/>
        <v>0.24369221125215484</v>
      </c>
      <c r="AU415" s="113">
        <f t="shared" si="421"/>
        <v>0.26840351559772146</v>
      </c>
      <c r="AV415" s="113">
        <f t="shared" si="421"/>
        <v>0.2305341201392041</v>
      </c>
      <c r="AW415" s="113">
        <f t="shared" si="421"/>
        <v>0.21927943115621507</v>
      </c>
      <c r="AY415" s="111" t="s">
        <v>54</v>
      </c>
      <c r="AZ415" s="179">
        <f t="shared" si="409"/>
        <v>2.858136864666258E-2</v>
      </c>
      <c r="BA415" s="179">
        <f t="shared" si="409"/>
        <v>3.3320350098241858E-2</v>
      </c>
      <c r="BB415" s="179">
        <f t="shared" si="409"/>
        <v>3.0529692029186702E-2</v>
      </c>
      <c r="BC415" s="179">
        <f t="shared" si="409"/>
        <v>3.1128390908203626E-2</v>
      </c>
      <c r="BD415" s="179">
        <f t="shared" si="409"/>
        <v>3.6990614233099676E-2</v>
      </c>
      <c r="BE415" s="179">
        <f t="shared" si="409"/>
        <v>3.7528600532831843E-2</v>
      </c>
      <c r="BF415" s="179">
        <f t="shared" si="409"/>
        <v>3.5429264058899228E-2</v>
      </c>
      <c r="BG415" s="179">
        <f t="shared" si="409"/>
        <v>3.6885459222272654E-2</v>
      </c>
      <c r="BH415" s="179">
        <f t="shared" si="409"/>
        <v>3.5961826709619268E-2</v>
      </c>
    </row>
    <row r="416" spans="2:68" s="108" customFormat="1" x14ac:dyDescent="0.25">
      <c r="B416" s="107"/>
      <c r="E416" s="109" t="s">
        <v>2</v>
      </c>
      <c r="F416" s="110" t="s">
        <v>66</v>
      </c>
      <c r="G416" s="111" t="s">
        <v>55</v>
      </c>
      <c r="H416" s="70">
        <v>48543</v>
      </c>
      <c r="I416" s="70">
        <v>40319</v>
      </c>
      <c r="J416" s="70">
        <v>37899</v>
      </c>
      <c r="K416" s="70">
        <v>33474</v>
      </c>
      <c r="L416" s="70">
        <v>33898</v>
      </c>
      <c r="M416" s="112">
        <v>37907</v>
      </c>
      <c r="N416" s="112">
        <v>39529</v>
      </c>
      <c r="O416" s="112">
        <v>45229</v>
      </c>
      <c r="P416" s="112">
        <v>47188</v>
      </c>
      <c r="R416" s="111" t="s">
        <v>55</v>
      </c>
      <c r="S416" s="81">
        <v>5.7</v>
      </c>
      <c r="T416" s="81">
        <v>6.7</v>
      </c>
      <c r="U416" s="81">
        <v>6.9</v>
      </c>
      <c r="V416" s="81">
        <v>7.5</v>
      </c>
      <c r="W416" s="81">
        <v>8.9</v>
      </c>
      <c r="X416" s="81">
        <v>8.8000000000000007</v>
      </c>
      <c r="Y416" s="81">
        <v>8.5</v>
      </c>
      <c r="Z416" s="81">
        <v>8.4</v>
      </c>
      <c r="AA416" s="81">
        <v>8.6999999999999993</v>
      </c>
      <c r="AC416" s="111" t="s">
        <v>55</v>
      </c>
      <c r="AD416" s="70">
        <f t="shared" si="411"/>
        <v>5533.902000000001</v>
      </c>
      <c r="AE416" s="70">
        <f t="shared" si="407"/>
        <v>5402.7460000000001</v>
      </c>
      <c r="AF416" s="70">
        <f t="shared" si="407"/>
        <v>5230.0619999999999</v>
      </c>
      <c r="AG416" s="70">
        <f t="shared" si="407"/>
        <v>5021.1000000000004</v>
      </c>
      <c r="AH416" s="70">
        <f t="shared" si="407"/>
        <v>6033.8440000000001</v>
      </c>
      <c r="AI416" s="70">
        <f t="shared" si="407"/>
        <v>6671.6320000000005</v>
      </c>
      <c r="AJ416" s="70">
        <f t="shared" si="407"/>
        <v>6719.93</v>
      </c>
      <c r="AK416" s="70">
        <f t="shared" si="407"/>
        <v>7598.4720000000007</v>
      </c>
      <c r="AL416" s="70">
        <f t="shared" si="407"/>
        <v>8210.7119999999995</v>
      </c>
      <c r="AN416" s="111" t="s">
        <v>55</v>
      </c>
      <c r="AO416" s="113">
        <f t="shared" ref="AO416:AW416" si="422">H416/H414</f>
        <v>0.23223648958971219</v>
      </c>
      <c r="AP416" s="113">
        <f t="shared" si="422"/>
        <v>0.2057669243920488</v>
      </c>
      <c r="AQ416" s="113">
        <f t="shared" si="422"/>
        <v>0.2104541264535045</v>
      </c>
      <c r="AR416" s="113">
        <f t="shared" si="422"/>
        <v>0.19218160627859845</v>
      </c>
      <c r="AS416" s="113">
        <f t="shared" si="422"/>
        <v>0.19177741192710898</v>
      </c>
      <c r="AT416" s="113">
        <f t="shared" si="422"/>
        <v>0.20484844554685516</v>
      </c>
      <c r="AU416" s="113">
        <f t="shared" si="422"/>
        <v>0.19717375472620438</v>
      </c>
      <c r="AV416" s="113">
        <f t="shared" si="422"/>
        <v>0.1955299051077535</v>
      </c>
      <c r="AW416" s="113">
        <f t="shared" si="422"/>
        <v>0.19690874797616464</v>
      </c>
      <c r="AY416" s="111" t="s">
        <v>55</v>
      </c>
      <c r="AZ416" s="179">
        <f t="shared" si="409"/>
        <v>2.6474959813227186E-2</v>
      </c>
      <c r="BA416" s="179">
        <f t="shared" si="409"/>
        <v>2.7572767868534541E-2</v>
      </c>
      <c r="BB416" s="179">
        <f t="shared" si="409"/>
        <v>2.9042669450583626E-2</v>
      </c>
      <c r="BC416" s="179">
        <f t="shared" si="409"/>
        <v>2.8827240941789768E-2</v>
      </c>
      <c r="BD416" s="179">
        <f t="shared" si="409"/>
        <v>3.41363793230254E-2</v>
      </c>
      <c r="BE416" s="179">
        <f t="shared" si="409"/>
        <v>3.6053326416246506E-2</v>
      </c>
      <c r="BF416" s="179">
        <f t="shared" si="409"/>
        <v>3.3519538303454749E-2</v>
      </c>
      <c r="BG416" s="179">
        <f t="shared" si="409"/>
        <v>3.284902405810259E-2</v>
      </c>
      <c r="BH416" s="179">
        <f t="shared" si="409"/>
        <v>3.4262122147852646E-2</v>
      </c>
    </row>
    <row r="417" spans="2:68" s="108" customFormat="1" x14ac:dyDescent="0.25">
      <c r="B417" s="107"/>
      <c r="E417" s="109" t="s">
        <v>2</v>
      </c>
      <c r="F417" s="110" t="s">
        <v>66</v>
      </c>
      <c r="G417" s="111" t="s">
        <v>130</v>
      </c>
      <c r="H417" s="70">
        <v>35822</v>
      </c>
      <c r="I417" s="70">
        <v>33304</v>
      </c>
      <c r="J417" s="70">
        <v>29670</v>
      </c>
      <c r="K417" s="70">
        <v>25365</v>
      </c>
      <c r="L417" s="70">
        <v>24339</v>
      </c>
      <c r="M417" s="70">
        <v>29706</v>
      </c>
      <c r="N417" s="70">
        <v>27369</v>
      </c>
      <c r="O417" s="112">
        <v>36891</v>
      </c>
      <c r="P417" s="112">
        <v>41461</v>
      </c>
      <c r="R417" s="111" t="s">
        <v>130</v>
      </c>
      <c r="S417" s="220">
        <v>6.9</v>
      </c>
      <c r="T417" s="220">
        <v>8.1999999999999993</v>
      </c>
      <c r="U417" s="220">
        <v>8.4</v>
      </c>
      <c r="V417" s="220">
        <v>8.1999999999999993</v>
      </c>
      <c r="W417" s="220">
        <v>10.3</v>
      </c>
      <c r="X417" s="220">
        <v>10.7</v>
      </c>
      <c r="Y417" s="220">
        <v>10.6</v>
      </c>
      <c r="Z417" s="220">
        <v>9.8000000000000007</v>
      </c>
      <c r="AA417" s="220">
        <v>9.5</v>
      </c>
      <c r="AC417" s="111" t="s">
        <v>130</v>
      </c>
      <c r="AD417" s="70">
        <f t="shared" si="411"/>
        <v>4943.4360000000006</v>
      </c>
      <c r="AE417" s="70">
        <f t="shared" si="407"/>
        <v>5461.8559999999998</v>
      </c>
      <c r="AF417" s="70">
        <f t="shared" si="407"/>
        <v>4984.5600000000004</v>
      </c>
      <c r="AG417" s="70">
        <f t="shared" si="407"/>
        <v>4159.8599999999997</v>
      </c>
      <c r="AH417" s="70">
        <f t="shared" si="407"/>
        <v>5013.8339999999998</v>
      </c>
      <c r="AI417" s="70">
        <f t="shared" si="407"/>
        <v>6357.0839999999989</v>
      </c>
      <c r="AJ417" s="70">
        <f t="shared" si="407"/>
        <v>5802.2279999999992</v>
      </c>
      <c r="AK417" s="70">
        <f t="shared" si="407"/>
        <v>7230.6360000000013</v>
      </c>
      <c r="AL417" s="70">
        <f t="shared" si="407"/>
        <v>7877.59</v>
      </c>
      <c r="AN417" s="111" t="s">
        <v>130</v>
      </c>
      <c r="AO417" s="113">
        <f t="shared" ref="AO417:AW417" si="423">H417/H414</f>
        <v>0.17137744947948561</v>
      </c>
      <c r="AP417" s="113">
        <f t="shared" si="423"/>
        <v>0.16996606190512645</v>
      </c>
      <c r="AQ417" s="113">
        <f t="shared" si="423"/>
        <v>0.16475827678502017</v>
      </c>
      <c r="AR417" s="113">
        <f t="shared" si="423"/>
        <v>0.14562605136095627</v>
      </c>
      <c r="AS417" s="113">
        <f t="shared" si="423"/>
        <v>0.13769751693002258</v>
      </c>
      <c r="AT417" s="113">
        <f t="shared" si="423"/>
        <v>0.16053045409594216</v>
      </c>
      <c r="AU417" s="113">
        <f t="shared" si="423"/>
        <v>0.136518720258582</v>
      </c>
      <c r="AV417" s="113">
        <f t="shared" si="423"/>
        <v>0.15948382076389339</v>
      </c>
      <c r="AW417" s="113">
        <f t="shared" si="423"/>
        <v>0.17301079935237268</v>
      </c>
      <c r="AY417" s="111" t="s">
        <v>130</v>
      </c>
      <c r="AZ417" s="179">
        <f t="shared" si="409"/>
        <v>2.3650088028169015E-2</v>
      </c>
      <c r="BA417" s="179">
        <f t="shared" si="409"/>
        <v>2.7874434152440734E-2</v>
      </c>
      <c r="BB417" s="179">
        <f t="shared" si="409"/>
        <v>2.767939049988339E-2</v>
      </c>
      <c r="BC417" s="179">
        <f t="shared" si="409"/>
        <v>2.3882672423196825E-2</v>
      </c>
      <c r="BD417" s="179">
        <f t="shared" si="409"/>
        <v>2.8365688487584653E-2</v>
      </c>
      <c r="BE417" s="179">
        <f t="shared" si="409"/>
        <v>3.4353517176531623E-2</v>
      </c>
      <c r="BF417" s="179">
        <f t="shared" si="409"/>
        <v>2.8941968694819385E-2</v>
      </c>
      <c r="BG417" s="179">
        <f t="shared" si="409"/>
        <v>3.1258828869723108E-2</v>
      </c>
      <c r="BH417" s="179">
        <f t="shared" si="409"/>
        <v>3.287205187695081E-2</v>
      </c>
    </row>
    <row r="418" spans="2:68" s="108" customFormat="1" x14ac:dyDescent="0.25">
      <c r="B418" s="107"/>
      <c r="E418" s="109" t="s">
        <v>2</v>
      </c>
      <c r="F418" s="110" t="s">
        <v>66</v>
      </c>
      <c r="G418" s="111" t="s">
        <v>131</v>
      </c>
      <c r="H418" s="112">
        <v>51719</v>
      </c>
      <c r="I418" s="112">
        <v>55632</v>
      </c>
      <c r="J418" s="112">
        <v>61608</v>
      </c>
      <c r="K418" s="112">
        <v>62118</v>
      </c>
      <c r="L418" s="112">
        <v>68226</v>
      </c>
      <c r="M418" s="112">
        <v>72341</v>
      </c>
      <c r="N418" s="112">
        <v>79771</v>
      </c>
      <c r="O418" s="112">
        <v>95869</v>
      </c>
      <c r="P418" s="112">
        <v>98446</v>
      </c>
      <c r="R418" s="111" t="s">
        <v>131</v>
      </c>
      <c r="S418" s="220">
        <v>5.2</v>
      </c>
      <c r="T418" s="220">
        <v>5.5</v>
      </c>
      <c r="U418" s="220">
        <v>5.5</v>
      </c>
      <c r="V418" s="220">
        <v>4.3</v>
      </c>
      <c r="W418" s="220">
        <v>5.0999999999999996</v>
      </c>
      <c r="X418" s="220">
        <v>5.6</v>
      </c>
      <c r="Y418" s="220">
        <v>4.7</v>
      </c>
      <c r="Z418" s="220">
        <v>2</v>
      </c>
      <c r="AA418" s="220">
        <v>5.2</v>
      </c>
      <c r="AC418" s="111" t="s">
        <v>131</v>
      </c>
      <c r="AD418" s="112">
        <f t="shared" si="411"/>
        <v>5378.7759999999998</v>
      </c>
      <c r="AE418" s="112">
        <f t="shared" si="407"/>
        <v>6119.52</v>
      </c>
      <c r="AF418" s="112">
        <f t="shared" si="407"/>
        <v>6776.88</v>
      </c>
      <c r="AG418" s="112">
        <f t="shared" si="407"/>
        <v>5342.1479999999992</v>
      </c>
      <c r="AH418" s="112">
        <f t="shared" si="407"/>
        <v>6959.0519999999997</v>
      </c>
      <c r="AI418" s="112">
        <f t="shared" si="407"/>
        <v>8102.1919999999991</v>
      </c>
      <c r="AJ418" s="112">
        <f t="shared" si="407"/>
        <v>7498.4740000000002</v>
      </c>
      <c r="AK418" s="112">
        <f t="shared" si="407"/>
        <v>3834.76</v>
      </c>
      <c r="AL418" s="112">
        <f t="shared" si="407"/>
        <v>10238.384</v>
      </c>
      <c r="AN418" s="111" t="s">
        <v>131</v>
      </c>
      <c r="AO418" s="113">
        <f t="shared" ref="AO418:AW418" si="424">H418/H414</f>
        <v>0.24743091702388242</v>
      </c>
      <c r="AP418" s="113">
        <f t="shared" si="424"/>
        <v>0.28391640511367988</v>
      </c>
      <c r="AQ418" s="113">
        <f t="shared" si="424"/>
        <v>0.34211081618373851</v>
      </c>
      <c r="AR418" s="113">
        <f t="shared" si="424"/>
        <v>0.35663311880307041</v>
      </c>
      <c r="AS418" s="113">
        <f t="shared" si="424"/>
        <v>0.38598754221897857</v>
      </c>
      <c r="AT418" s="113">
        <f t="shared" si="424"/>
        <v>0.39092888910504786</v>
      </c>
      <c r="AU418" s="113">
        <f t="shared" si="424"/>
        <v>0.39790400941749221</v>
      </c>
      <c r="AV418" s="113">
        <f t="shared" si="424"/>
        <v>0.41445215398914897</v>
      </c>
      <c r="AW418" s="113">
        <f t="shared" si="424"/>
        <v>0.41080102151524761</v>
      </c>
      <c r="AY418" s="111" t="s">
        <v>131</v>
      </c>
      <c r="AZ418" s="179">
        <f t="shared" si="409"/>
        <v>2.5732815370483775E-2</v>
      </c>
      <c r="BA418" s="179">
        <f t="shared" si="409"/>
        <v>3.1230804562504787E-2</v>
      </c>
      <c r="BB418" s="179">
        <f t="shared" si="409"/>
        <v>3.7632189780211239E-2</v>
      </c>
      <c r="BC418" s="179">
        <f t="shared" si="409"/>
        <v>3.0670448217064054E-2</v>
      </c>
      <c r="BD418" s="179">
        <f t="shared" si="409"/>
        <v>3.9370729306335811E-2</v>
      </c>
      <c r="BE418" s="179">
        <f t="shared" si="409"/>
        <v>4.378403557976536E-2</v>
      </c>
      <c r="BF418" s="179">
        <f t="shared" si="409"/>
        <v>3.7402976885244271E-2</v>
      </c>
      <c r="BG418" s="179">
        <f t="shared" si="409"/>
        <v>1.657808615956596E-2</v>
      </c>
      <c r="BH418" s="179">
        <f t="shared" si="409"/>
        <v>4.2723306237585759E-2</v>
      </c>
    </row>
    <row r="419" spans="2:68" s="87" customFormat="1" x14ac:dyDescent="0.25">
      <c r="B419" s="84"/>
      <c r="C419" s="85"/>
      <c r="D419" s="85"/>
      <c r="E419" s="109" t="s">
        <v>3</v>
      </c>
      <c r="F419" s="110" t="s">
        <v>66</v>
      </c>
      <c r="G419" s="195" t="s">
        <v>7</v>
      </c>
      <c r="H419" s="69">
        <v>210363</v>
      </c>
      <c r="I419" s="69">
        <v>223236</v>
      </c>
      <c r="J419" s="69">
        <v>232684</v>
      </c>
      <c r="K419" s="69">
        <v>247267</v>
      </c>
      <c r="L419" s="69">
        <v>261284</v>
      </c>
      <c r="M419" s="69">
        <v>267520</v>
      </c>
      <c r="N419" s="69">
        <v>272895</v>
      </c>
      <c r="O419" s="69">
        <v>276952</v>
      </c>
      <c r="P419" s="69">
        <v>274431</v>
      </c>
      <c r="R419" s="195" t="s">
        <v>7</v>
      </c>
      <c r="S419" s="226">
        <v>1</v>
      </c>
      <c r="T419" s="226">
        <v>0.9</v>
      </c>
      <c r="U419" s="226">
        <v>1</v>
      </c>
      <c r="V419" s="226">
        <v>1</v>
      </c>
      <c r="W419" s="226">
        <v>1.1000000000000001</v>
      </c>
      <c r="X419" s="226">
        <v>1.2</v>
      </c>
      <c r="Y419" s="226">
        <v>1</v>
      </c>
      <c r="Z419" s="226">
        <v>1.2</v>
      </c>
      <c r="AA419" s="226">
        <v>1</v>
      </c>
      <c r="AC419" s="195" t="s">
        <v>7</v>
      </c>
      <c r="AD419" s="69">
        <f t="shared" si="411"/>
        <v>4207.26</v>
      </c>
      <c r="AE419" s="69">
        <f t="shared" si="407"/>
        <v>4018.248</v>
      </c>
      <c r="AF419" s="69">
        <f t="shared" si="407"/>
        <v>4653.68</v>
      </c>
      <c r="AG419" s="69">
        <f t="shared" si="407"/>
        <v>4945.34</v>
      </c>
      <c r="AH419" s="69">
        <f t="shared" si="407"/>
        <v>5748.2480000000005</v>
      </c>
      <c r="AI419" s="69">
        <f t="shared" si="407"/>
        <v>6420.48</v>
      </c>
      <c r="AJ419" s="69">
        <f t="shared" si="407"/>
        <v>5457.9</v>
      </c>
      <c r="AK419" s="69">
        <f t="shared" si="407"/>
        <v>6646.847999999999</v>
      </c>
      <c r="AL419" s="69">
        <f t="shared" si="407"/>
        <v>5488.62</v>
      </c>
      <c r="AN419" s="195" t="s">
        <v>7</v>
      </c>
      <c r="AO419" s="98">
        <f t="shared" ref="AO419:AW419" si="425">H419/H419</f>
        <v>1</v>
      </c>
      <c r="AP419" s="98">
        <f t="shared" si="425"/>
        <v>1</v>
      </c>
      <c r="AQ419" s="98">
        <f t="shared" si="425"/>
        <v>1</v>
      </c>
      <c r="AR419" s="98">
        <f t="shared" si="425"/>
        <v>1</v>
      </c>
      <c r="AS419" s="98">
        <f t="shared" si="425"/>
        <v>1</v>
      </c>
      <c r="AT419" s="98">
        <f t="shared" si="425"/>
        <v>1</v>
      </c>
      <c r="AU419" s="98">
        <f t="shared" si="425"/>
        <v>1</v>
      </c>
      <c r="AV419" s="98">
        <f t="shared" si="425"/>
        <v>1</v>
      </c>
      <c r="AW419" s="98">
        <f t="shared" si="425"/>
        <v>1</v>
      </c>
      <c r="AX419" s="191"/>
      <c r="AY419" s="195" t="s">
        <v>7</v>
      </c>
      <c r="AZ419" s="178">
        <f t="shared" si="409"/>
        <v>0.02</v>
      </c>
      <c r="BA419" s="178">
        <f t="shared" si="409"/>
        <v>1.8000000000000002E-2</v>
      </c>
      <c r="BB419" s="178">
        <f t="shared" si="409"/>
        <v>0.02</v>
      </c>
      <c r="BC419" s="178">
        <f t="shared" si="409"/>
        <v>0.02</v>
      </c>
      <c r="BD419" s="178">
        <f t="shared" si="409"/>
        <v>2.2000000000000002E-2</v>
      </c>
      <c r="BE419" s="178">
        <f t="shared" si="409"/>
        <v>2.4E-2</v>
      </c>
      <c r="BF419" s="178">
        <f t="shared" si="409"/>
        <v>0.02</v>
      </c>
      <c r="BG419" s="178">
        <f t="shared" si="409"/>
        <v>2.4E-2</v>
      </c>
      <c r="BH419" s="178">
        <f t="shared" si="409"/>
        <v>0.02</v>
      </c>
      <c r="BI419" s="191"/>
      <c r="BJ419" s="191"/>
      <c r="BK419" s="191"/>
      <c r="BL419" s="191"/>
      <c r="BM419" s="191"/>
      <c r="BN419" s="191"/>
      <c r="BO419" s="191"/>
      <c r="BP419" s="191"/>
    </row>
    <row r="420" spans="2:68" s="108" customFormat="1" x14ac:dyDescent="0.25">
      <c r="B420" s="107"/>
      <c r="E420" s="109" t="s">
        <v>3</v>
      </c>
      <c r="F420" s="110" t="s">
        <v>66</v>
      </c>
      <c r="G420" s="111" t="s">
        <v>54</v>
      </c>
      <c r="H420" s="112">
        <v>61849</v>
      </c>
      <c r="I420" s="112">
        <v>51694</v>
      </c>
      <c r="J420" s="112">
        <v>63001</v>
      </c>
      <c r="K420" s="112">
        <v>70399</v>
      </c>
      <c r="L420" s="112">
        <v>65121</v>
      </c>
      <c r="M420" s="112">
        <v>69337</v>
      </c>
      <c r="N420" s="112">
        <v>69950</v>
      </c>
      <c r="O420" s="112">
        <v>62060</v>
      </c>
      <c r="P420" s="112">
        <v>63303</v>
      </c>
      <c r="R420" s="111" t="s">
        <v>54</v>
      </c>
      <c r="S420" s="220">
        <v>4.8</v>
      </c>
      <c r="T420" s="220">
        <v>6</v>
      </c>
      <c r="U420" s="220">
        <v>5.3</v>
      </c>
      <c r="V420" s="220">
        <v>4.5999999999999996</v>
      </c>
      <c r="W420" s="220">
        <v>5.7</v>
      </c>
      <c r="X420" s="220">
        <v>6.2</v>
      </c>
      <c r="Y420" s="220">
        <v>5.8</v>
      </c>
      <c r="Z420" s="220">
        <v>7.3</v>
      </c>
      <c r="AA420" s="220">
        <v>7.5</v>
      </c>
      <c r="AC420" s="111" t="s">
        <v>54</v>
      </c>
      <c r="AD420" s="112">
        <f t="shared" si="411"/>
        <v>5937.5039999999999</v>
      </c>
      <c r="AE420" s="112">
        <f t="shared" si="407"/>
        <v>6203.28</v>
      </c>
      <c r="AF420" s="112">
        <f t="shared" si="407"/>
        <v>6678.1059999999998</v>
      </c>
      <c r="AG420" s="112">
        <f t="shared" si="407"/>
        <v>6476.7079999999996</v>
      </c>
      <c r="AH420" s="112">
        <f t="shared" si="407"/>
        <v>7423.7939999999999</v>
      </c>
      <c r="AI420" s="112">
        <f t="shared" si="407"/>
        <v>8597.7880000000005</v>
      </c>
      <c r="AJ420" s="112">
        <f t="shared" si="407"/>
        <v>8114.2</v>
      </c>
      <c r="AK420" s="112">
        <f t="shared" si="407"/>
        <v>9060.76</v>
      </c>
      <c r="AL420" s="112">
        <f t="shared" si="407"/>
        <v>9495.4500000000007</v>
      </c>
      <c r="AN420" s="111" t="s">
        <v>54</v>
      </c>
      <c r="AO420" s="113">
        <f t="shared" ref="AO420:AW420" si="426">H420/H419</f>
        <v>0.29401082890051961</v>
      </c>
      <c r="AP420" s="113">
        <f t="shared" si="426"/>
        <v>0.23156659320181333</v>
      </c>
      <c r="AQ420" s="113">
        <f t="shared" si="426"/>
        <v>0.27075776589709649</v>
      </c>
      <c r="AR420" s="113">
        <f t="shared" si="426"/>
        <v>0.28470843258501943</v>
      </c>
      <c r="AS420" s="113">
        <f t="shared" si="426"/>
        <v>0.24923454937921954</v>
      </c>
      <c r="AT420" s="113">
        <f t="shared" si="426"/>
        <v>0.2591843600478469</v>
      </c>
      <c r="AU420" s="113">
        <f t="shared" si="426"/>
        <v>0.25632569303211861</v>
      </c>
      <c r="AV420" s="113">
        <f t="shared" si="426"/>
        <v>0.22408215141974061</v>
      </c>
      <c r="AW420" s="113">
        <f t="shared" si="426"/>
        <v>0.23067000448200095</v>
      </c>
      <c r="AY420" s="111" t="s">
        <v>54</v>
      </c>
      <c r="AZ420" s="179">
        <f t="shared" si="409"/>
        <v>2.822503957444988E-2</v>
      </c>
      <c r="BA420" s="179">
        <f t="shared" si="409"/>
        <v>2.7787991184217598E-2</v>
      </c>
      <c r="BB420" s="179">
        <f t="shared" si="409"/>
        <v>2.8700323185092226E-2</v>
      </c>
      <c r="BC420" s="179">
        <f t="shared" si="409"/>
        <v>2.6193175797821783E-2</v>
      </c>
      <c r="BD420" s="179">
        <f t="shared" si="409"/>
        <v>2.8412738629231028E-2</v>
      </c>
      <c r="BE420" s="179">
        <f t="shared" si="409"/>
        <v>3.2138860645933014E-2</v>
      </c>
      <c r="BF420" s="179">
        <f t="shared" si="409"/>
        <v>2.9733780391725757E-2</v>
      </c>
      <c r="BG420" s="179">
        <f t="shared" si="409"/>
        <v>3.2715994107282126E-2</v>
      </c>
      <c r="BH420" s="179">
        <f t="shared" si="409"/>
        <v>3.4600500672300145E-2</v>
      </c>
    </row>
    <row r="421" spans="2:68" s="108" customFormat="1" x14ac:dyDescent="0.25">
      <c r="B421" s="107"/>
      <c r="E421" s="109" t="s">
        <v>3</v>
      </c>
      <c r="F421" s="110" t="s">
        <v>66</v>
      </c>
      <c r="G421" s="111" t="s">
        <v>55</v>
      </c>
      <c r="H421" s="70">
        <v>73749</v>
      </c>
      <c r="I421" s="70">
        <v>83903</v>
      </c>
      <c r="J421" s="70">
        <v>80100</v>
      </c>
      <c r="K421" s="70">
        <v>83108</v>
      </c>
      <c r="L421" s="70">
        <v>100847</v>
      </c>
      <c r="M421" s="112">
        <v>89081</v>
      </c>
      <c r="N421" s="112">
        <v>84399</v>
      </c>
      <c r="O421" s="112">
        <v>96460</v>
      </c>
      <c r="P421" s="112">
        <v>84919</v>
      </c>
      <c r="R421" s="111" t="s">
        <v>55</v>
      </c>
      <c r="S421" s="81">
        <v>4.0999999999999996</v>
      </c>
      <c r="T421" s="81">
        <v>4.4000000000000004</v>
      </c>
      <c r="U421" s="81">
        <v>4.3</v>
      </c>
      <c r="V421" s="81">
        <v>4.2</v>
      </c>
      <c r="W421" s="81">
        <v>4.3</v>
      </c>
      <c r="X421" s="81">
        <v>5.0999999999999996</v>
      </c>
      <c r="Y421" s="81">
        <v>5.2</v>
      </c>
      <c r="Z421" s="81">
        <v>5.2</v>
      </c>
      <c r="AA421" s="81">
        <v>6.1</v>
      </c>
      <c r="AC421" s="111" t="s">
        <v>55</v>
      </c>
      <c r="AD421" s="70">
        <f t="shared" si="411"/>
        <v>6047.4179999999997</v>
      </c>
      <c r="AE421" s="70">
        <f t="shared" si="407"/>
        <v>7383.4639999999999</v>
      </c>
      <c r="AF421" s="70">
        <f t="shared" si="407"/>
        <v>6888.6</v>
      </c>
      <c r="AG421" s="70">
        <f t="shared" si="407"/>
        <v>6981.072000000001</v>
      </c>
      <c r="AH421" s="70">
        <f t="shared" si="407"/>
        <v>8672.8419999999987</v>
      </c>
      <c r="AI421" s="70">
        <f t="shared" si="407"/>
        <v>9086.2619999999988</v>
      </c>
      <c r="AJ421" s="70">
        <f t="shared" si="407"/>
        <v>8777.4959999999992</v>
      </c>
      <c r="AK421" s="70">
        <f t="shared" si="407"/>
        <v>10031.84</v>
      </c>
      <c r="AL421" s="70">
        <f t="shared" si="407"/>
        <v>10360.117999999999</v>
      </c>
      <c r="AN421" s="111" t="s">
        <v>55</v>
      </c>
      <c r="AO421" s="113">
        <f t="shared" ref="AO421:AW421" si="427">H421/H419</f>
        <v>0.35057971221174827</v>
      </c>
      <c r="AP421" s="113">
        <f t="shared" si="427"/>
        <v>0.37584887742120449</v>
      </c>
      <c r="AQ421" s="113">
        <f t="shared" si="427"/>
        <v>0.34424369531209709</v>
      </c>
      <c r="AR421" s="113">
        <f t="shared" si="427"/>
        <v>0.336106314227131</v>
      </c>
      <c r="AS421" s="113">
        <f t="shared" si="427"/>
        <v>0.38596699376923194</v>
      </c>
      <c r="AT421" s="113">
        <f t="shared" si="427"/>
        <v>0.33298818779904304</v>
      </c>
      <c r="AU421" s="113">
        <f t="shared" si="427"/>
        <v>0.30927279722970374</v>
      </c>
      <c r="AV421" s="113">
        <f t="shared" si="427"/>
        <v>0.3482914006759294</v>
      </c>
      <c r="AW421" s="113">
        <f t="shared" si="427"/>
        <v>0.30943661612572926</v>
      </c>
      <c r="AY421" s="111" t="s">
        <v>55</v>
      </c>
      <c r="AZ421" s="179">
        <f t="shared" si="409"/>
        <v>2.8747536401363356E-2</v>
      </c>
      <c r="BA421" s="179">
        <f t="shared" si="409"/>
        <v>3.3074701213066E-2</v>
      </c>
      <c r="BB421" s="179">
        <f t="shared" si="409"/>
        <v>2.9604957796840348E-2</v>
      </c>
      <c r="BC421" s="179">
        <f t="shared" si="409"/>
        <v>2.8232930395079004E-2</v>
      </c>
      <c r="BD421" s="179">
        <f t="shared" si="409"/>
        <v>3.3193161464153943E-2</v>
      </c>
      <c r="BE421" s="179">
        <f t="shared" si="409"/>
        <v>3.3964795155502388E-2</v>
      </c>
      <c r="BF421" s="179">
        <f t="shared" si="409"/>
        <v>3.2164370911889194E-2</v>
      </c>
      <c r="BG421" s="179">
        <f t="shared" si="409"/>
        <v>3.6222305670296662E-2</v>
      </c>
      <c r="BH421" s="179">
        <f t="shared" si="409"/>
        <v>3.7751267167338967E-2</v>
      </c>
    </row>
    <row r="422" spans="2:68" s="108" customFormat="1" x14ac:dyDescent="0.25">
      <c r="B422" s="107"/>
      <c r="E422" s="109" t="s">
        <v>3</v>
      </c>
      <c r="F422" s="110" t="s">
        <v>66</v>
      </c>
      <c r="G422" s="111" t="s">
        <v>130</v>
      </c>
      <c r="H422" s="70">
        <v>27668</v>
      </c>
      <c r="I422" s="70">
        <v>31408</v>
      </c>
      <c r="J422" s="70">
        <v>33936</v>
      </c>
      <c r="K422" s="70">
        <v>31406</v>
      </c>
      <c r="L422" s="70">
        <v>31087</v>
      </c>
      <c r="M422" s="70">
        <v>36390</v>
      </c>
      <c r="N422" s="70">
        <v>37784</v>
      </c>
      <c r="O422" s="112">
        <v>39989</v>
      </c>
      <c r="P422" s="112">
        <v>34409</v>
      </c>
      <c r="R422" s="111" t="s">
        <v>130</v>
      </c>
      <c r="S422" s="220">
        <v>8.3000000000000007</v>
      </c>
      <c r="T422" s="220">
        <v>8.1999999999999993</v>
      </c>
      <c r="U422" s="220">
        <v>7.1</v>
      </c>
      <c r="V422" s="220">
        <v>7.7</v>
      </c>
      <c r="W422" s="220">
        <v>9.1999999999999993</v>
      </c>
      <c r="X422" s="220">
        <v>9.3000000000000007</v>
      </c>
      <c r="Y422" s="220">
        <v>9</v>
      </c>
      <c r="Z422" s="220">
        <v>9.8000000000000007</v>
      </c>
      <c r="AA422" s="220">
        <v>11.3</v>
      </c>
      <c r="AC422" s="111" t="s">
        <v>130</v>
      </c>
      <c r="AD422" s="70">
        <f t="shared" si="411"/>
        <v>4592.8880000000008</v>
      </c>
      <c r="AE422" s="70">
        <f t="shared" si="407"/>
        <v>5150.9119999999994</v>
      </c>
      <c r="AF422" s="70">
        <f t="shared" si="407"/>
        <v>4818.9119999999994</v>
      </c>
      <c r="AG422" s="70">
        <f t="shared" si="407"/>
        <v>4836.5240000000003</v>
      </c>
      <c r="AH422" s="70">
        <f t="shared" si="407"/>
        <v>5720.0079999999989</v>
      </c>
      <c r="AI422" s="70">
        <f t="shared" si="407"/>
        <v>6768.54</v>
      </c>
      <c r="AJ422" s="70">
        <f t="shared" si="407"/>
        <v>6801.12</v>
      </c>
      <c r="AK422" s="70">
        <f t="shared" si="407"/>
        <v>7837.8440000000001</v>
      </c>
      <c r="AL422" s="70">
        <f t="shared" si="407"/>
        <v>7776.4340000000002</v>
      </c>
      <c r="AN422" s="111" t="s">
        <v>130</v>
      </c>
      <c r="AO422" s="113">
        <f t="shared" ref="AO422:AW422" si="428">H422/H419</f>
        <v>0.1315250305424433</v>
      </c>
      <c r="AP422" s="113">
        <f t="shared" si="428"/>
        <v>0.14069415327276963</v>
      </c>
      <c r="AQ422" s="113">
        <f t="shared" si="428"/>
        <v>0.14584586821612144</v>
      </c>
      <c r="AR422" s="113">
        <f t="shared" si="428"/>
        <v>0.12701250065718434</v>
      </c>
      <c r="AS422" s="113">
        <f t="shared" si="428"/>
        <v>0.11897781724100978</v>
      </c>
      <c r="AT422" s="113">
        <f t="shared" si="428"/>
        <v>0.1360272129186603</v>
      </c>
      <c r="AU422" s="113">
        <f t="shared" si="428"/>
        <v>0.13845618278092306</v>
      </c>
      <c r="AV422" s="113">
        <f t="shared" si="428"/>
        <v>0.14438964152632947</v>
      </c>
      <c r="AW422" s="113">
        <f t="shared" si="428"/>
        <v>0.12538306532425272</v>
      </c>
      <c r="AY422" s="111" t="s">
        <v>130</v>
      </c>
      <c r="AZ422" s="179">
        <f t="shared" si="409"/>
        <v>2.1833155070045591E-2</v>
      </c>
      <c r="BA422" s="179">
        <f t="shared" si="409"/>
        <v>2.3073841136734215E-2</v>
      </c>
      <c r="BB422" s="179">
        <f t="shared" si="409"/>
        <v>2.0710113286689244E-2</v>
      </c>
      <c r="BC422" s="179">
        <f t="shared" si="409"/>
        <v>1.9559925101206389E-2</v>
      </c>
      <c r="BD422" s="179">
        <f t="shared" si="409"/>
        <v>2.18919183723458E-2</v>
      </c>
      <c r="BE422" s="179">
        <f t="shared" si="409"/>
        <v>2.5301061602870819E-2</v>
      </c>
      <c r="BF422" s="179">
        <f t="shared" si="409"/>
        <v>2.4922112900566149E-2</v>
      </c>
      <c r="BG422" s="179">
        <f t="shared" si="409"/>
        <v>2.8300369739160579E-2</v>
      </c>
      <c r="BH422" s="179">
        <f t="shared" si="409"/>
        <v>2.8336572763281116E-2</v>
      </c>
    </row>
    <row r="423" spans="2:68" s="108" customFormat="1" x14ac:dyDescent="0.25">
      <c r="B423" s="107"/>
      <c r="E423" s="109" t="s">
        <v>3</v>
      </c>
      <c r="F423" s="110" t="s">
        <v>66</v>
      </c>
      <c r="G423" s="111" t="s">
        <v>131</v>
      </c>
      <c r="H423" s="112">
        <v>47098</v>
      </c>
      <c r="I423" s="112">
        <v>56213</v>
      </c>
      <c r="J423" s="112">
        <v>55575</v>
      </c>
      <c r="K423" s="112">
        <v>62219</v>
      </c>
      <c r="L423" s="112">
        <v>64229</v>
      </c>
      <c r="M423" s="112">
        <v>72711</v>
      </c>
      <c r="N423" s="112">
        <v>80762</v>
      </c>
      <c r="O423" s="112">
        <v>78443</v>
      </c>
      <c r="P423" s="112">
        <v>91800</v>
      </c>
      <c r="R423" s="111" t="s">
        <v>131</v>
      </c>
      <c r="S423" s="220">
        <v>5.5</v>
      </c>
      <c r="T423" s="220">
        <v>5.5</v>
      </c>
      <c r="U423" s="220">
        <v>5.8</v>
      </c>
      <c r="V423" s="220">
        <v>5</v>
      </c>
      <c r="W423" s="220">
        <v>5.7</v>
      </c>
      <c r="X423" s="220">
        <v>6</v>
      </c>
      <c r="Y423" s="220">
        <v>5.0999999999999996</v>
      </c>
      <c r="Z423" s="220">
        <v>6.3</v>
      </c>
      <c r="AA423" s="220">
        <v>5.7</v>
      </c>
      <c r="AC423" s="111" t="s">
        <v>131</v>
      </c>
      <c r="AD423" s="112">
        <f t="shared" si="411"/>
        <v>5180.78</v>
      </c>
      <c r="AE423" s="112">
        <f t="shared" si="407"/>
        <v>6183.43</v>
      </c>
      <c r="AF423" s="112">
        <f t="shared" si="407"/>
        <v>6446.7</v>
      </c>
      <c r="AG423" s="112">
        <f t="shared" si="407"/>
        <v>6221.9</v>
      </c>
      <c r="AH423" s="112">
        <f t="shared" si="407"/>
        <v>7322.1059999999998</v>
      </c>
      <c r="AI423" s="112">
        <f t="shared" si="407"/>
        <v>8725.32</v>
      </c>
      <c r="AJ423" s="112">
        <f t="shared" si="407"/>
        <v>8237.7239999999983</v>
      </c>
      <c r="AK423" s="112">
        <f t="shared" si="407"/>
        <v>9883.8179999999993</v>
      </c>
      <c r="AL423" s="112">
        <f t="shared" si="407"/>
        <v>10465.200000000001</v>
      </c>
      <c r="AN423" s="111" t="s">
        <v>131</v>
      </c>
      <c r="AO423" s="113">
        <f t="shared" ref="AO423:AW423" si="429">H423/H419</f>
        <v>0.22388918203296207</v>
      </c>
      <c r="AP423" s="113">
        <f t="shared" si="429"/>
        <v>0.25180974394810873</v>
      </c>
      <c r="AQ423" s="113">
        <f t="shared" si="429"/>
        <v>0.23884323803957297</v>
      </c>
      <c r="AR423" s="113">
        <f t="shared" si="429"/>
        <v>0.25162678400271771</v>
      </c>
      <c r="AS423" s="113">
        <f t="shared" si="429"/>
        <v>0.24582063961053871</v>
      </c>
      <c r="AT423" s="113">
        <f t="shared" si="429"/>
        <v>0.27179650119617227</v>
      </c>
      <c r="AU423" s="113">
        <f t="shared" si="429"/>
        <v>0.29594532695725462</v>
      </c>
      <c r="AV423" s="113">
        <f t="shared" si="429"/>
        <v>0.28323680637800053</v>
      </c>
      <c r="AW423" s="113">
        <f t="shared" si="429"/>
        <v>0.33451031406801712</v>
      </c>
      <c r="AY423" s="111" t="s">
        <v>131</v>
      </c>
      <c r="AZ423" s="179">
        <f t="shared" si="409"/>
        <v>2.4627810023625827E-2</v>
      </c>
      <c r="BA423" s="179">
        <f t="shared" si="409"/>
        <v>2.7699071834291961E-2</v>
      </c>
      <c r="BB423" s="179">
        <f t="shared" si="409"/>
        <v>2.7705815612590463E-2</v>
      </c>
      <c r="BC423" s="179">
        <f t="shared" si="409"/>
        <v>2.5162678400271771E-2</v>
      </c>
      <c r="BD423" s="179">
        <f t="shared" si="409"/>
        <v>2.8023552915601414E-2</v>
      </c>
      <c r="BE423" s="179">
        <f t="shared" si="409"/>
        <v>3.2615580143540671E-2</v>
      </c>
      <c r="BF423" s="179">
        <f t="shared" si="409"/>
        <v>3.0186423349639967E-2</v>
      </c>
      <c r="BG423" s="179">
        <f t="shared" si="409"/>
        <v>3.5687837603628064E-2</v>
      </c>
      <c r="BH423" s="179">
        <f t="shared" si="409"/>
        <v>3.8134175803753952E-2</v>
      </c>
    </row>
    <row r="424" spans="2:68" s="87" customFormat="1" x14ac:dyDescent="0.25">
      <c r="B424" s="84"/>
      <c r="C424" s="85"/>
      <c r="D424" s="85"/>
      <c r="E424" s="109" t="s">
        <v>45</v>
      </c>
      <c r="F424" s="110" t="s">
        <v>66</v>
      </c>
      <c r="G424" s="195" t="s">
        <v>7</v>
      </c>
      <c r="H424" s="69">
        <v>135903</v>
      </c>
      <c r="I424" s="69">
        <v>132119</v>
      </c>
      <c r="J424" s="69">
        <v>133317</v>
      </c>
      <c r="K424" s="69">
        <v>134334</v>
      </c>
      <c r="L424" s="69">
        <v>137327</v>
      </c>
      <c r="M424" s="69">
        <v>140851</v>
      </c>
      <c r="N424" s="69">
        <v>147338</v>
      </c>
      <c r="O424" s="69">
        <v>151749</v>
      </c>
      <c r="P424" s="69">
        <v>161387</v>
      </c>
      <c r="R424" s="195" t="s">
        <v>7</v>
      </c>
      <c r="S424" s="226">
        <v>1.2</v>
      </c>
      <c r="T424" s="226">
        <v>1.2</v>
      </c>
      <c r="U424" s="226">
        <v>1.3</v>
      </c>
      <c r="V424" s="226">
        <v>1.3</v>
      </c>
      <c r="W424" s="226">
        <v>1.4</v>
      </c>
      <c r="X424" s="226">
        <v>1.5</v>
      </c>
      <c r="Y424" s="226">
        <v>1.6</v>
      </c>
      <c r="Z424" s="226">
        <v>1.6</v>
      </c>
      <c r="AA424" s="226">
        <v>1.5</v>
      </c>
      <c r="AC424" s="195" t="s">
        <v>7</v>
      </c>
      <c r="AD424" s="69">
        <f t="shared" si="411"/>
        <v>3261.672</v>
      </c>
      <c r="AE424" s="69">
        <f t="shared" si="407"/>
        <v>3170.8559999999998</v>
      </c>
      <c r="AF424" s="69">
        <f t="shared" si="407"/>
        <v>3466.2420000000002</v>
      </c>
      <c r="AG424" s="69">
        <f t="shared" si="407"/>
        <v>3492.6840000000002</v>
      </c>
      <c r="AH424" s="69">
        <f t="shared" si="407"/>
        <v>3845.1559999999999</v>
      </c>
      <c r="AI424" s="69">
        <f t="shared" si="407"/>
        <v>4225.53</v>
      </c>
      <c r="AJ424" s="69">
        <f t="shared" si="407"/>
        <v>4714.8160000000007</v>
      </c>
      <c r="AK424" s="69">
        <f t="shared" si="407"/>
        <v>4855.9680000000008</v>
      </c>
      <c r="AL424" s="69">
        <f t="shared" si="407"/>
        <v>4841.6099999999997</v>
      </c>
      <c r="AN424" s="195" t="s">
        <v>7</v>
      </c>
      <c r="AO424" s="98">
        <f t="shared" ref="AO424:AW424" si="430">H424/H424</f>
        <v>1</v>
      </c>
      <c r="AP424" s="98">
        <f t="shared" si="430"/>
        <v>1</v>
      </c>
      <c r="AQ424" s="98">
        <f t="shared" si="430"/>
        <v>1</v>
      </c>
      <c r="AR424" s="98">
        <f t="shared" si="430"/>
        <v>1</v>
      </c>
      <c r="AS424" s="98">
        <f t="shared" si="430"/>
        <v>1</v>
      </c>
      <c r="AT424" s="98">
        <f t="shared" si="430"/>
        <v>1</v>
      </c>
      <c r="AU424" s="98">
        <f t="shared" si="430"/>
        <v>1</v>
      </c>
      <c r="AV424" s="98">
        <f t="shared" si="430"/>
        <v>1</v>
      </c>
      <c r="AW424" s="98">
        <f t="shared" si="430"/>
        <v>1</v>
      </c>
      <c r="AX424" s="191"/>
      <c r="AY424" s="195" t="s">
        <v>7</v>
      </c>
      <c r="AZ424" s="178">
        <f t="shared" si="409"/>
        <v>2.4E-2</v>
      </c>
      <c r="BA424" s="178">
        <f t="shared" si="409"/>
        <v>2.4E-2</v>
      </c>
      <c r="BB424" s="178">
        <f t="shared" si="409"/>
        <v>2.6000000000000002E-2</v>
      </c>
      <c r="BC424" s="178">
        <f t="shared" si="409"/>
        <v>2.6000000000000002E-2</v>
      </c>
      <c r="BD424" s="178">
        <f t="shared" si="409"/>
        <v>2.7999999999999997E-2</v>
      </c>
      <c r="BE424" s="178">
        <f t="shared" si="409"/>
        <v>0.03</v>
      </c>
      <c r="BF424" s="178">
        <f t="shared" si="409"/>
        <v>3.2000000000000001E-2</v>
      </c>
      <c r="BG424" s="178">
        <f t="shared" si="409"/>
        <v>3.2000000000000001E-2</v>
      </c>
      <c r="BH424" s="178">
        <f t="shared" si="409"/>
        <v>0.03</v>
      </c>
      <c r="BI424" s="191"/>
      <c r="BJ424" s="191"/>
      <c r="BK424" s="191"/>
      <c r="BL424" s="191"/>
      <c r="BM424" s="191"/>
      <c r="BN424" s="191"/>
      <c r="BO424" s="191"/>
      <c r="BP424" s="191"/>
    </row>
    <row r="425" spans="2:68" s="108" customFormat="1" x14ac:dyDescent="0.25">
      <c r="B425" s="107"/>
      <c r="E425" s="109" t="s">
        <v>45</v>
      </c>
      <c r="F425" s="110" t="s">
        <v>66</v>
      </c>
      <c r="G425" s="111" t="s">
        <v>54</v>
      </c>
      <c r="H425" s="112">
        <v>14013</v>
      </c>
      <c r="I425" s="112">
        <v>13459</v>
      </c>
      <c r="J425" s="112">
        <v>15221</v>
      </c>
      <c r="K425" s="112">
        <v>18426</v>
      </c>
      <c r="L425" s="112">
        <v>16826</v>
      </c>
      <c r="M425" s="112">
        <v>15114</v>
      </c>
      <c r="N425" s="112">
        <v>15137</v>
      </c>
      <c r="O425" s="112">
        <v>20626</v>
      </c>
      <c r="P425" s="112">
        <v>21875</v>
      </c>
      <c r="R425" s="111" t="s">
        <v>54</v>
      </c>
      <c r="S425" s="220">
        <v>10.9</v>
      </c>
      <c r="T425" s="220">
        <v>12.5</v>
      </c>
      <c r="U425" s="220">
        <v>11.6</v>
      </c>
      <c r="V425" s="220">
        <v>10</v>
      </c>
      <c r="W425" s="220">
        <v>12.6</v>
      </c>
      <c r="X425" s="220">
        <v>13.8</v>
      </c>
      <c r="Y425" s="220">
        <v>13.7</v>
      </c>
      <c r="Z425" s="220">
        <v>13.4</v>
      </c>
      <c r="AA425" s="220">
        <v>13.5</v>
      </c>
      <c r="AC425" s="111" t="s">
        <v>54</v>
      </c>
      <c r="AD425" s="112">
        <f t="shared" si="411"/>
        <v>3054.8340000000003</v>
      </c>
      <c r="AE425" s="112">
        <f t="shared" si="407"/>
        <v>3364.75</v>
      </c>
      <c r="AF425" s="112">
        <f t="shared" si="407"/>
        <v>3531.2719999999999</v>
      </c>
      <c r="AG425" s="112">
        <f t="shared" si="407"/>
        <v>3685.2</v>
      </c>
      <c r="AH425" s="112">
        <f t="shared" si="407"/>
        <v>4240.152</v>
      </c>
      <c r="AI425" s="112">
        <f t="shared" si="407"/>
        <v>4171.4639999999999</v>
      </c>
      <c r="AJ425" s="112">
        <f t="shared" si="407"/>
        <v>4147.5379999999996</v>
      </c>
      <c r="AK425" s="112">
        <f t="shared" si="407"/>
        <v>5527.768</v>
      </c>
      <c r="AL425" s="112">
        <f t="shared" si="407"/>
        <v>5906.25</v>
      </c>
      <c r="AN425" s="111" t="s">
        <v>54</v>
      </c>
      <c r="AO425" s="113">
        <f t="shared" ref="AO425:AW425" si="431">H425/H424</f>
        <v>0.10311030661574799</v>
      </c>
      <c r="AP425" s="113">
        <f t="shared" si="431"/>
        <v>0.10187028360795949</v>
      </c>
      <c r="AQ425" s="113">
        <f t="shared" si="431"/>
        <v>0.11417148600703586</v>
      </c>
      <c r="AR425" s="113">
        <f t="shared" si="431"/>
        <v>0.13716557237929342</v>
      </c>
      <c r="AS425" s="113">
        <f t="shared" si="431"/>
        <v>0.12252506790361692</v>
      </c>
      <c r="AT425" s="113">
        <f t="shared" si="431"/>
        <v>0.10730488246444825</v>
      </c>
      <c r="AU425" s="113">
        <f t="shared" si="431"/>
        <v>0.102736564905184</v>
      </c>
      <c r="AV425" s="113">
        <f t="shared" si="431"/>
        <v>0.13592181826568875</v>
      </c>
      <c r="AW425" s="113">
        <f t="shared" si="431"/>
        <v>0.13554375507320912</v>
      </c>
      <c r="AY425" s="111" t="s">
        <v>54</v>
      </c>
      <c r="AZ425" s="179">
        <f t="shared" si="409"/>
        <v>2.2478046842233063E-2</v>
      </c>
      <c r="BA425" s="179">
        <f t="shared" si="409"/>
        <v>2.5467570901989874E-2</v>
      </c>
      <c r="BB425" s="179">
        <f t="shared" si="409"/>
        <v>2.648778475363232E-2</v>
      </c>
      <c r="BC425" s="179">
        <f t="shared" si="409"/>
        <v>2.743311447585868E-2</v>
      </c>
      <c r="BD425" s="179">
        <f t="shared" si="409"/>
        <v>3.0876317111711463E-2</v>
      </c>
      <c r="BE425" s="179">
        <f t="shared" si="409"/>
        <v>2.9616147560187722E-2</v>
      </c>
      <c r="BF425" s="179">
        <f t="shared" si="409"/>
        <v>2.8149818784020411E-2</v>
      </c>
      <c r="BG425" s="179">
        <f t="shared" si="409"/>
        <v>3.6427047295204587E-2</v>
      </c>
      <c r="BH425" s="179">
        <f t="shared" si="409"/>
        <v>3.6596813869766459E-2</v>
      </c>
    </row>
    <row r="426" spans="2:68" s="108" customFormat="1" x14ac:dyDescent="0.25">
      <c r="B426" s="107"/>
      <c r="E426" s="109" t="s">
        <v>45</v>
      </c>
      <c r="F426" s="110" t="s">
        <v>66</v>
      </c>
      <c r="G426" s="111" t="s">
        <v>55</v>
      </c>
      <c r="H426" s="70">
        <v>57119</v>
      </c>
      <c r="I426" s="70">
        <v>55220</v>
      </c>
      <c r="J426" s="70">
        <v>58585</v>
      </c>
      <c r="K426" s="70">
        <v>54384</v>
      </c>
      <c r="L426" s="70">
        <v>56344</v>
      </c>
      <c r="M426" s="112">
        <v>60688</v>
      </c>
      <c r="N426" s="112">
        <v>64578</v>
      </c>
      <c r="O426" s="112">
        <v>66386</v>
      </c>
      <c r="P426" s="112">
        <v>69183</v>
      </c>
      <c r="R426" s="111" t="s">
        <v>55</v>
      </c>
      <c r="S426" s="81">
        <v>5.7</v>
      </c>
      <c r="T426" s="81">
        <v>5</v>
      </c>
      <c r="U426" s="81">
        <v>4.8</v>
      </c>
      <c r="V426" s="81">
        <v>4.9000000000000004</v>
      </c>
      <c r="W426" s="81">
        <v>5.5</v>
      </c>
      <c r="X426" s="81">
        <v>5.8</v>
      </c>
      <c r="Y426" s="81">
        <v>5.6</v>
      </c>
      <c r="Z426" s="81">
        <v>6.1</v>
      </c>
      <c r="AA426" s="81">
        <v>6.2</v>
      </c>
      <c r="AC426" s="111" t="s">
        <v>55</v>
      </c>
      <c r="AD426" s="70">
        <f t="shared" si="411"/>
        <v>6511.5659999999998</v>
      </c>
      <c r="AE426" s="70">
        <f t="shared" si="407"/>
        <v>5522</v>
      </c>
      <c r="AF426" s="70">
        <f t="shared" si="407"/>
        <v>5624.16</v>
      </c>
      <c r="AG426" s="70">
        <f t="shared" si="407"/>
        <v>5329.6320000000005</v>
      </c>
      <c r="AH426" s="70">
        <f t="shared" si="407"/>
        <v>6197.84</v>
      </c>
      <c r="AI426" s="70">
        <f t="shared" si="407"/>
        <v>7039.8079999999991</v>
      </c>
      <c r="AJ426" s="70">
        <f t="shared" si="407"/>
        <v>7232.7359999999999</v>
      </c>
      <c r="AK426" s="70">
        <f t="shared" si="407"/>
        <v>8099.0919999999996</v>
      </c>
      <c r="AL426" s="70">
        <f t="shared" si="407"/>
        <v>8578.6920000000009</v>
      </c>
      <c r="AN426" s="111" t="s">
        <v>55</v>
      </c>
      <c r="AO426" s="113">
        <f t="shared" ref="AO426:AW426" si="432">H426/H424</f>
        <v>0.42029241444265397</v>
      </c>
      <c r="AP426" s="113">
        <f t="shared" si="432"/>
        <v>0.41795653918058717</v>
      </c>
      <c r="AQ426" s="113">
        <f t="shared" si="432"/>
        <v>0.43944133156311649</v>
      </c>
      <c r="AR426" s="113">
        <f t="shared" si="432"/>
        <v>0.40484166331680738</v>
      </c>
      <c r="AS426" s="113">
        <f t="shared" si="432"/>
        <v>0.41029076583628854</v>
      </c>
      <c r="AT426" s="113">
        <f t="shared" si="432"/>
        <v>0.4308666605135924</v>
      </c>
      <c r="AU426" s="113">
        <f t="shared" si="432"/>
        <v>0.43829833444189553</v>
      </c>
      <c r="AV426" s="113">
        <f t="shared" si="432"/>
        <v>0.43747240508998414</v>
      </c>
      <c r="AW426" s="113">
        <f t="shared" si="432"/>
        <v>0.42867765061622065</v>
      </c>
      <c r="AY426" s="111" t="s">
        <v>55</v>
      </c>
      <c r="AZ426" s="179">
        <f t="shared" si="409"/>
        <v>4.7913335246462553E-2</v>
      </c>
      <c r="BA426" s="179">
        <f t="shared" si="409"/>
        <v>4.1795653918058714E-2</v>
      </c>
      <c r="BB426" s="179">
        <f t="shared" si="409"/>
        <v>4.2186367830059177E-2</v>
      </c>
      <c r="BC426" s="179">
        <f t="shared" si="409"/>
        <v>3.9674483005047126E-2</v>
      </c>
      <c r="BD426" s="179">
        <f t="shared" si="409"/>
        <v>4.5131984241991739E-2</v>
      </c>
      <c r="BE426" s="179">
        <f t="shared" si="409"/>
        <v>4.9980532619576717E-2</v>
      </c>
      <c r="BF426" s="179">
        <f t="shared" si="409"/>
        <v>4.9089413457492299E-2</v>
      </c>
      <c r="BG426" s="179">
        <f t="shared" si="409"/>
        <v>5.3371633420978067E-2</v>
      </c>
      <c r="BH426" s="179">
        <f t="shared" si="409"/>
        <v>5.3156028676411358E-2</v>
      </c>
    </row>
    <row r="427" spans="2:68" s="108" customFormat="1" x14ac:dyDescent="0.25">
      <c r="B427" s="107"/>
      <c r="E427" s="109" t="s">
        <v>45</v>
      </c>
      <c r="F427" s="110" t="s">
        <v>66</v>
      </c>
      <c r="G427" s="111" t="s">
        <v>130</v>
      </c>
      <c r="H427" s="70">
        <v>14514</v>
      </c>
      <c r="I427" s="70">
        <v>16527</v>
      </c>
      <c r="J427" s="70">
        <v>15820</v>
      </c>
      <c r="K427" s="70">
        <v>14210</v>
      </c>
      <c r="L427" s="70">
        <v>16907</v>
      </c>
      <c r="M427" s="70">
        <v>18302</v>
      </c>
      <c r="N427" s="70">
        <v>18863</v>
      </c>
      <c r="O427" s="112">
        <v>19272</v>
      </c>
      <c r="P427" s="112">
        <v>22990</v>
      </c>
      <c r="R427" s="111" t="s">
        <v>130</v>
      </c>
      <c r="S427" s="220">
        <v>10.9</v>
      </c>
      <c r="T427" s="220">
        <v>11.3</v>
      </c>
      <c r="U427" s="220">
        <v>11.2</v>
      </c>
      <c r="V427" s="220">
        <v>11.3</v>
      </c>
      <c r="W427" s="220">
        <v>12.6</v>
      </c>
      <c r="X427" s="220">
        <v>13</v>
      </c>
      <c r="Y427" s="220">
        <v>12.5</v>
      </c>
      <c r="Z427" s="220">
        <v>15.4</v>
      </c>
      <c r="AA427" s="220">
        <v>13.5</v>
      </c>
      <c r="AC427" s="111" t="s">
        <v>130</v>
      </c>
      <c r="AD427" s="70">
        <f t="shared" si="411"/>
        <v>3164.0520000000001</v>
      </c>
      <c r="AE427" s="70">
        <f t="shared" si="407"/>
        <v>3735.1020000000003</v>
      </c>
      <c r="AF427" s="70">
        <f t="shared" si="407"/>
        <v>3543.68</v>
      </c>
      <c r="AG427" s="70">
        <f t="shared" si="407"/>
        <v>3211.46</v>
      </c>
      <c r="AH427" s="70">
        <f t="shared" si="407"/>
        <v>4260.5639999999994</v>
      </c>
      <c r="AI427" s="70">
        <f t="shared" si="407"/>
        <v>4758.5200000000004</v>
      </c>
      <c r="AJ427" s="70">
        <f t="shared" si="407"/>
        <v>4715.75</v>
      </c>
      <c r="AK427" s="70">
        <f t="shared" si="407"/>
        <v>5935.7759999999998</v>
      </c>
      <c r="AL427" s="70">
        <f t="shared" si="407"/>
        <v>6207.3</v>
      </c>
      <c r="AN427" s="111" t="s">
        <v>130</v>
      </c>
      <c r="AO427" s="113">
        <f t="shared" ref="AO427:AW427" si="433">H427/H424</f>
        <v>0.1067967594534337</v>
      </c>
      <c r="AP427" s="113">
        <f t="shared" si="433"/>
        <v>0.12509177332556257</v>
      </c>
      <c r="AQ427" s="113">
        <f t="shared" si="433"/>
        <v>0.1186645364057097</v>
      </c>
      <c r="AR427" s="113">
        <f t="shared" si="433"/>
        <v>0.1057811127488201</v>
      </c>
      <c r="AS427" s="113">
        <f t="shared" si="433"/>
        <v>0.12311490092989726</v>
      </c>
      <c r="AT427" s="113">
        <f t="shared" si="433"/>
        <v>0.12993872957948471</v>
      </c>
      <c r="AU427" s="113">
        <f t="shared" si="433"/>
        <v>0.12802535666291112</v>
      </c>
      <c r="AV427" s="113">
        <f t="shared" si="433"/>
        <v>0.12699918945100133</v>
      </c>
      <c r="AW427" s="113">
        <f t="shared" si="433"/>
        <v>0.14245261390322642</v>
      </c>
      <c r="AY427" s="111" t="s">
        <v>130</v>
      </c>
      <c r="AZ427" s="179">
        <f t="shared" si="409"/>
        <v>2.3281693560848547E-2</v>
      </c>
      <c r="BA427" s="179">
        <f t="shared" si="409"/>
        <v>2.8270740771577142E-2</v>
      </c>
      <c r="BB427" s="179">
        <f t="shared" si="409"/>
        <v>2.6580856154878974E-2</v>
      </c>
      <c r="BC427" s="179">
        <f t="shared" si="409"/>
        <v>2.3906531481233343E-2</v>
      </c>
      <c r="BD427" s="179">
        <f t="shared" si="409"/>
        <v>3.1024955034334108E-2</v>
      </c>
      <c r="BE427" s="179">
        <f t="shared" si="409"/>
        <v>3.3784069690666024E-2</v>
      </c>
      <c r="BF427" s="179">
        <f t="shared" si="409"/>
        <v>3.200633916572778E-2</v>
      </c>
      <c r="BG427" s="179">
        <f t="shared" si="409"/>
        <v>3.9115750350908411E-2</v>
      </c>
      <c r="BH427" s="179">
        <f t="shared" si="409"/>
        <v>3.8462205753871131E-2</v>
      </c>
    </row>
    <row r="428" spans="2:68" s="108" customFormat="1" x14ac:dyDescent="0.25">
      <c r="B428" s="107"/>
      <c r="E428" s="109" t="s">
        <v>45</v>
      </c>
      <c r="F428" s="110" t="s">
        <v>66</v>
      </c>
      <c r="G428" s="111" t="s">
        <v>131</v>
      </c>
      <c r="H428" s="112">
        <v>50257</v>
      </c>
      <c r="I428" s="112">
        <v>46896</v>
      </c>
      <c r="J428" s="112">
        <v>43344</v>
      </c>
      <c r="K428" s="112">
        <v>46950</v>
      </c>
      <c r="L428" s="112">
        <v>47250</v>
      </c>
      <c r="M428" s="112">
        <v>46747</v>
      </c>
      <c r="N428" s="112">
        <v>48761</v>
      </c>
      <c r="O428" s="112">
        <v>45465</v>
      </c>
      <c r="P428" s="112">
        <v>47339</v>
      </c>
      <c r="R428" s="111" t="s">
        <v>131</v>
      </c>
      <c r="S428" s="220">
        <v>4.9000000000000004</v>
      </c>
      <c r="T428" s="220">
        <v>5.7</v>
      </c>
      <c r="U428" s="220">
        <v>6.1</v>
      </c>
      <c r="V428" s="220">
        <v>5.4</v>
      </c>
      <c r="W428" s="220">
        <v>6.4</v>
      </c>
      <c r="X428" s="220">
        <v>7.2</v>
      </c>
      <c r="Y428" s="220">
        <v>6.6</v>
      </c>
      <c r="Z428" s="220">
        <v>7.9</v>
      </c>
      <c r="AA428" s="220">
        <v>8.6999999999999993</v>
      </c>
      <c r="AC428" s="111" t="s">
        <v>131</v>
      </c>
      <c r="AD428" s="112">
        <f t="shared" si="411"/>
        <v>4925.1860000000006</v>
      </c>
      <c r="AE428" s="112">
        <f t="shared" si="407"/>
        <v>5346.1440000000002</v>
      </c>
      <c r="AF428" s="112">
        <f t="shared" si="407"/>
        <v>5287.9679999999989</v>
      </c>
      <c r="AG428" s="112">
        <f t="shared" si="407"/>
        <v>5070.6000000000004</v>
      </c>
      <c r="AH428" s="112">
        <f t="shared" si="407"/>
        <v>6048</v>
      </c>
      <c r="AI428" s="112">
        <f t="shared" si="407"/>
        <v>6731.5680000000002</v>
      </c>
      <c r="AJ428" s="112">
        <f t="shared" si="407"/>
        <v>6436.4519999999993</v>
      </c>
      <c r="AK428" s="112">
        <f t="shared" si="407"/>
        <v>7183.47</v>
      </c>
      <c r="AL428" s="112">
        <f t="shared" si="407"/>
        <v>8236.985999999999</v>
      </c>
      <c r="AN428" s="111" t="s">
        <v>131</v>
      </c>
      <c r="AO428" s="113">
        <f t="shared" ref="AO428:AW428" si="434">H428/H424</f>
        <v>0.36980051948816434</v>
      </c>
      <c r="AP428" s="113">
        <f t="shared" si="434"/>
        <v>0.35495273200675148</v>
      </c>
      <c r="AQ428" s="113">
        <f t="shared" si="434"/>
        <v>0.32511982717882942</v>
      </c>
      <c r="AR428" s="113">
        <f t="shared" si="434"/>
        <v>0.34950198758318818</v>
      </c>
      <c r="AS428" s="113">
        <f t="shared" si="434"/>
        <v>0.34406926533019727</v>
      </c>
      <c r="AT428" s="113">
        <f t="shared" si="434"/>
        <v>0.33188972744247469</v>
      </c>
      <c r="AU428" s="113">
        <f t="shared" si="434"/>
        <v>0.33094653110534961</v>
      </c>
      <c r="AV428" s="113">
        <f t="shared" si="434"/>
        <v>0.29960658719332584</v>
      </c>
      <c r="AW428" s="113">
        <f t="shared" si="434"/>
        <v>0.29332598040734381</v>
      </c>
      <c r="AY428" s="111" t="s">
        <v>131</v>
      </c>
      <c r="AZ428" s="179">
        <f t="shared" si="409"/>
        <v>3.6240450909840106E-2</v>
      </c>
      <c r="BA428" s="179">
        <f t="shared" si="409"/>
        <v>4.0464611448769672E-2</v>
      </c>
      <c r="BB428" s="179">
        <f t="shared" si="409"/>
        <v>3.9664618915817192E-2</v>
      </c>
      <c r="BC428" s="179">
        <f t="shared" si="409"/>
        <v>3.7746214658984326E-2</v>
      </c>
      <c r="BD428" s="179">
        <f t="shared" si="409"/>
        <v>4.4040865962265252E-2</v>
      </c>
      <c r="BE428" s="179">
        <f t="shared" si="409"/>
        <v>4.7792120751716356E-2</v>
      </c>
      <c r="BF428" s="179">
        <f t="shared" si="409"/>
        <v>4.3684942105906142E-2</v>
      </c>
      <c r="BG428" s="179">
        <f t="shared" si="409"/>
        <v>4.7337840776545487E-2</v>
      </c>
      <c r="BH428" s="179">
        <f t="shared" si="409"/>
        <v>5.1038720590877815E-2</v>
      </c>
    </row>
    <row r="429" spans="2:68" s="87" customFormat="1" x14ac:dyDescent="0.25">
      <c r="B429" s="84"/>
      <c r="C429" s="85"/>
      <c r="D429" s="85"/>
      <c r="E429" s="109" t="s">
        <v>46</v>
      </c>
      <c r="F429" s="110" t="s">
        <v>66</v>
      </c>
      <c r="G429" s="195" t="s">
        <v>7</v>
      </c>
      <c r="H429" s="69">
        <v>805994</v>
      </c>
      <c r="I429" s="69">
        <v>799911</v>
      </c>
      <c r="J429" s="69">
        <v>787764</v>
      </c>
      <c r="K429" s="69">
        <v>796206</v>
      </c>
      <c r="L429" s="69">
        <v>822120</v>
      </c>
      <c r="M429" s="69">
        <v>842279</v>
      </c>
      <c r="N429" s="69">
        <v>875543</v>
      </c>
      <c r="O429" s="69">
        <v>898252</v>
      </c>
      <c r="P429" s="69">
        <v>914819</v>
      </c>
      <c r="R429" s="195" t="s">
        <v>7</v>
      </c>
      <c r="S429" s="226">
        <v>0.6</v>
      </c>
      <c r="T429" s="226">
        <v>0.7</v>
      </c>
      <c r="U429" s="226">
        <v>0.6</v>
      </c>
      <c r="V429" s="226">
        <v>0.6</v>
      </c>
      <c r="W429" s="226">
        <v>0.7</v>
      </c>
      <c r="X429" s="226">
        <v>0.7</v>
      </c>
      <c r="Y429" s="226">
        <v>0.6</v>
      </c>
      <c r="Z429" s="226">
        <v>0.7</v>
      </c>
      <c r="AA429" s="226">
        <v>0.9</v>
      </c>
      <c r="AC429" s="195" t="s">
        <v>7</v>
      </c>
      <c r="AD429" s="69">
        <f t="shared" si="411"/>
        <v>9671.9279999999999</v>
      </c>
      <c r="AE429" s="69">
        <f t="shared" si="407"/>
        <v>11198.753999999999</v>
      </c>
      <c r="AF429" s="69">
        <f t="shared" si="407"/>
        <v>9453.1679999999997</v>
      </c>
      <c r="AG429" s="69">
        <f t="shared" si="407"/>
        <v>9554.4719999999998</v>
      </c>
      <c r="AH429" s="69">
        <f t="shared" si="407"/>
        <v>11509.68</v>
      </c>
      <c r="AI429" s="69">
        <f t="shared" si="407"/>
        <v>11791.905999999999</v>
      </c>
      <c r="AJ429" s="69">
        <f t="shared" si="407"/>
        <v>10506.515999999998</v>
      </c>
      <c r="AK429" s="69">
        <f t="shared" si="407"/>
        <v>12575.527999999998</v>
      </c>
      <c r="AL429" s="69">
        <f t="shared" si="407"/>
        <v>16466.741999999998</v>
      </c>
      <c r="AN429" s="195" t="s">
        <v>7</v>
      </c>
      <c r="AO429" s="98">
        <f t="shared" ref="AO429:AW429" si="435">H429/H429</f>
        <v>1</v>
      </c>
      <c r="AP429" s="98">
        <f t="shared" si="435"/>
        <v>1</v>
      </c>
      <c r="AQ429" s="98">
        <f t="shared" si="435"/>
        <v>1</v>
      </c>
      <c r="AR429" s="98">
        <f t="shared" si="435"/>
        <v>1</v>
      </c>
      <c r="AS429" s="98">
        <f t="shared" si="435"/>
        <v>1</v>
      </c>
      <c r="AT429" s="98">
        <f t="shared" si="435"/>
        <v>1</v>
      </c>
      <c r="AU429" s="98">
        <f t="shared" si="435"/>
        <v>1</v>
      </c>
      <c r="AV429" s="98">
        <f t="shared" si="435"/>
        <v>1</v>
      </c>
      <c r="AW429" s="98">
        <f t="shared" si="435"/>
        <v>1</v>
      </c>
      <c r="AX429" s="191"/>
      <c r="AY429" s="195" t="s">
        <v>7</v>
      </c>
      <c r="AZ429" s="178">
        <f t="shared" si="409"/>
        <v>1.2E-2</v>
      </c>
      <c r="BA429" s="178">
        <f t="shared" si="409"/>
        <v>1.3999999999999999E-2</v>
      </c>
      <c r="BB429" s="178">
        <f t="shared" si="409"/>
        <v>1.2E-2</v>
      </c>
      <c r="BC429" s="178">
        <f t="shared" si="409"/>
        <v>1.2E-2</v>
      </c>
      <c r="BD429" s="178">
        <f t="shared" si="409"/>
        <v>1.3999999999999999E-2</v>
      </c>
      <c r="BE429" s="178">
        <f t="shared" si="409"/>
        <v>1.3999999999999999E-2</v>
      </c>
      <c r="BF429" s="178">
        <f t="shared" si="409"/>
        <v>1.2E-2</v>
      </c>
      <c r="BG429" s="178">
        <f t="shared" si="409"/>
        <v>1.3999999999999999E-2</v>
      </c>
      <c r="BH429" s="178">
        <f t="shared" si="409"/>
        <v>1.8000000000000002E-2</v>
      </c>
      <c r="BI429" s="191"/>
      <c r="BJ429" s="191"/>
      <c r="BK429" s="191"/>
      <c r="BL429" s="191"/>
      <c r="BM429" s="191"/>
      <c r="BN429" s="191"/>
      <c r="BO429" s="191"/>
      <c r="BP429" s="191"/>
    </row>
    <row r="430" spans="2:68" s="108" customFormat="1" x14ac:dyDescent="0.25">
      <c r="B430" s="107"/>
      <c r="E430" s="109" t="s">
        <v>46</v>
      </c>
      <c r="F430" s="110" t="s">
        <v>66</v>
      </c>
      <c r="G430" s="111" t="s">
        <v>54</v>
      </c>
      <c r="H430" s="112">
        <v>222536</v>
      </c>
      <c r="I430" s="112">
        <v>190632</v>
      </c>
      <c r="J430" s="112">
        <v>187759</v>
      </c>
      <c r="K430" s="112">
        <v>203694</v>
      </c>
      <c r="L430" s="112">
        <v>181812</v>
      </c>
      <c r="M430" s="112">
        <v>183335</v>
      </c>
      <c r="N430" s="112">
        <v>188722</v>
      </c>
      <c r="O430" s="112">
        <v>178230</v>
      </c>
      <c r="P430" s="112">
        <v>183190</v>
      </c>
      <c r="R430" s="111" t="s">
        <v>54</v>
      </c>
      <c r="S430" s="220">
        <v>2.6</v>
      </c>
      <c r="T430" s="220">
        <v>3.5</v>
      </c>
      <c r="U430" s="220">
        <v>2.7</v>
      </c>
      <c r="V430" s="220">
        <v>2.6</v>
      </c>
      <c r="W430" s="220">
        <v>3.9</v>
      </c>
      <c r="X430" s="220">
        <v>3.1</v>
      </c>
      <c r="Y430" s="220">
        <v>3.5</v>
      </c>
      <c r="Z430" s="220">
        <v>4.7</v>
      </c>
      <c r="AA430" s="220">
        <v>4.9000000000000004</v>
      </c>
      <c r="AC430" s="111" t="s">
        <v>54</v>
      </c>
      <c r="AD430" s="112">
        <f t="shared" si="411"/>
        <v>11571.871999999999</v>
      </c>
      <c r="AE430" s="112">
        <f t="shared" si="407"/>
        <v>13344.24</v>
      </c>
      <c r="AF430" s="112">
        <f t="shared" si="407"/>
        <v>10138.986000000001</v>
      </c>
      <c r="AG430" s="112">
        <f t="shared" si="407"/>
        <v>10592.088</v>
      </c>
      <c r="AH430" s="112">
        <f t="shared" si="407"/>
        <v>14181.335999999999</v>
      </c>
      <c r="AI430" s="112">
        <f t="shared" si="407"/>
        <v>11366.77</v>
      </c>
      <c r="AJ430" s="112">
        <f t="shared" si="407"/>
        <v>13210.54</v>
      </c>
      <c r="AK430" s="112">
        <f t="shared" si="407"/>
        <v>16753.62</v>
      </c>
      <c r="AL430" s="112">
        <f t="shared" si="407"/>
        <v>17952.620000000003</v>
      </c>
      <c r="AN430" s="111" t="s">
        <v>54</v>
      </c>
      <c r="AO430" s="113">
        <f t="shared" ref="AO430:AW430" si="436">H430/H429</f>
        <v>0.27610131092787293</v>
      </c>
      <c r="AP430" s="113">
        <f t="shared" si="436"/>
        <v>0.23831651271203921</v>
      </c>
      <c r="AQ430" s="113">
        <f t="shared" si="436"/>
        <v>0.23834422492015375</v>
      </c>
      <c r="AR430" s="113">
        <f t="shared" si="436"/>
        <v>0.25583077746211408</v>
      </c>
      <c r="AS430" s="113">
        <f t="shared" si="436"/>
        <v>0.22115019705152533</v>
      </c>
      <c r="AT430" s="113">
        <f t="shared" si="436"/>
        <v>0.21766540540604717</v>
      </c>
      <c r="AU430" s="113">
        <f t="shared" si="436"/>
        <v>0.2155485224597764</v>
      </c>
      <c r="AV430" s="113">
        <f t="shared" si="436"/>
        <v>0.19841870655450808</v>
      </c>
      <c r="AW430" s="113">
        <f t="shared" si="436"/>
        <v>0.20024726202669599</v>
      </c>
      <c r="AY430" s="111" t="s">
        <v>54</v>
      </c>
      <c r="AZ430" s="179">
        <f t="shared" si="409"/>
        <v>1.4357268168249393E-2</v>
      </c>
      <c r="BA430" s="179">
        <f t="shared" si="409"/>
        <v>1.6682155889842745E-2</v>
      </c>
      <c r="BB430" s="179">
        <f t="shared" si="409"/>
        <v>1.2870588145688304E-2</v>
      </c>
      <c r="BC430" s="179">
        <f t="shared" si="409"/>
        <v>1.3303200428029934E-2</v>
      </c>
      <c r="BD430" s="179">
        <f t="shared" si="409"/>
        <v>1.7249715370018976E-2</v>
      </c>
      <c r="BE430" s="179">
        <f t="shared" si="409"/>
        <v>1.3495255135174926E-2</v>
      </c>
      <c r="BF430" s="179">
        <f t="shared" si="409"/>
        <v>1.5088396572184349E-2</v>
      </c>
      <c r="BG430" s="179">
        <f t="shared" si="409"/>
        <v>1.865135841612376E-2</v>
      </c>
      <c r="BH430" s="179">
        <f t="shared" si="409"/>
        <v>1.9624231678616207E-2</v>
      </c>
    </row>
    <row r="431" spans="2:68" s="108" customFormat="1" x14ac:dyDescent="0.25">
      <c r="B431" s="107"/>
      <c r="E431" s="109" t="s">
        <v>46</v>
      </c>
      <c r="F431" s="110" t="s">
        <v>66</v>
      </c>
      <c r="G431" s="111" t="s">
        <v>55</v>
      </c>
      <c r="H431" s="70">
        <v>200852</v>
      </c>
      <c r="I431" s="70">
        <v>199436</v>
      </c>
      <c r="J431" s="70">
        <v>198242</v>
      </c>
      <c r="K431" s="70">
        <v>196833</v>
      </c>
      <c r="L431" s="70">
        <v>211432</v>
      </c>
      <c r="M431" s="112">
        <v>207850</v>
      </c>
      <c r="N431" s="112">
        <v>211305</v>
      </c>
      <c r="O431" s="112">
        <v>224493</v>
      </c>
      <c r="P431" s="112">
        <v>212885</v>
      </c>
      <c r="R431" s="111" t="s">
        <v>55</v>
      </c>
      <c r="S431" s="81">
        <v>2.6</v>
      </c>
      <c r="T431" s="81">
        <v>3.5</v>
      </c>
      <c r="U431" s="81">
        <v>3.7</v>
      </c>
      <c r="V431" s="81">
        <v>3.3</v>
      </c>
      <c r="W431" s="81">
        <v>3.2</v>
      </c>
      <c r="X431" s="81">
        <v>3.6</v>
      </c>
      <c r="Y431" s="81">
        <v>3.5</v>
      </c>
      <c r="Z431" s="81">
        <v>4</v>
      </c>
      <c r="AA431" s="81">
        <v>4.0999999999999996</v>
      </c>
      <c r="AC431" s="111" t="s">
        <v>55</v>
      </c>
      <c r="AD431" s="70">
        <f t="shared" si="411"/>
        <v>10444.304</v>
      </c>
      <c r="AE431" s="70">
        <f t="shared" si="407"/>
        <v>13960.52</v>
      </c>
      <c r="AF431" s="70">
        <f t="shared" si="407"/>
        <v>14669.908000000001</v>
      </c>
      <c r="AG431" s="70">
        <f t="shared" si="407"/>
        <v>12990.977999999997</v>
      </c>
      <c r="AH431" s="70">
        <f t="shared" si="407"/>
        <v>13531.648000000001</v>
      </c>
      <c r="AI431" s="70">
        <f t="shared" si="407"/>
        <v>14965.2</v>
      </c>
      <c r="AJ431" s="70">
        <f t="shared" si="407"/>
        <v>14791.35</v>
      </c>
      <c r="AK431" s="70">
        <f t="shared" si="407"/>
        <v>17959.439999999999</v>
      </c>
      <c r="AL431" s="70">
        <f t="shared" si="407"/>
        <v>17456.569999999996</v>
      </c>
      <c r="AN431" s="111" t="s">
        <v>55</v>
      </c>
      <c r="AO431" s="113">
        <f t="shared" ref="AO431:AW431" si="437">H431/H429</f>
        <v>0.24919788484777802</v>
      </c>
      <c r="AP431" s="113">
        <f t="shared" si="437"/>
        <v>0.24932273715450845</v>
      </c>
      <c r="AQ431" s="113">
        <f t="shared" si="437"/>
        <v>0.25165150984304946</v>
      </c>
      <c r="AR431" s="113">
        <f t="shared" si="437"/>
        <v>0.24721366078627893</v>
      </c>
      <c r="AS431" s="113">
        <f t="shared" si="437"/>
        <v>0.25717900063251109</v>
      </c>
      <c r="AT431" s="113">
        <f t="shared" si="437"/>
        <v>0.24677096306568252</v>
      </c>
      <c r="AU431" s="113">
        <f t="shared" si="437"/>
        <v>0.2413416588334325</v>
      </c>
      <c r="AV431" s="113">
        <f t="shared" si="437"/>
        <v>0.24992207086652743</v>
      </c>
      <c r="AW431" s="113">
        <f t="shared" si="437"/>
        <v>0.23270723498309501</v>
      </c>
      <c r="AY431" s="111" t="s">
        <v>55</v>
      </c>
      <c r="AZ431" s="179">
        <f t="shared" si="409"/>
        <v>1.2958290012084457E-2</v>
      </c>
      <c r="BA431" s="179">
        <f t="shared" si="409"/>
        <v>1.7452591600815592E-2</v>
      </c>
      <c r="BB431" s="179">
        <f t="shared" si="409"/>
        <v>1.862221172838566E-2</v>
      </c>
      <c r="BC431" s="179">
        <f t="shared" si="409"/>
        <v>1.631610161189441E-2</v>
      </c>
      <c r="BD431" s="179">
        <f t="shared" si="409"/>
        <v>1.645945604048071E-2</v>
      </c>
      <c r="BE431" s="179">
        <f t="shared" si="409"/>
        <v>1.776750934072914E-2</v>
      </c>
      <c r="BF431" s="179">
        <f t="shared" si="409"/>
        <v>1.6893916118340277E-2</v>
      </c>
      <c r="BG431" s="179">
        <f t="shared" si="409"/>
        <v>1.9993765669322195E-2</v>
      </c>
      <c r="BH431" s="179">
        <f t="shared" si="409"/>
        <v>1.9081993268613789E-2</v>
      </c>
    </row>
    <row r="432" spans="2:68" s="108" customFormat="1" x14ac:dyDescent="0.25">
      <c r="B432" s="107"/>
      <c r="E432" s="109" t="s">
        <v>46</v>
      </c>
      <c r="F432" s="110" t="s">
        <v>66</v>
      </c>
      <c r="G432" s="111" t="s">
        <v>130</v>
      </c>
      <c r="H432" s="70">
        <v>110878</v>
      </c>
      <c r="I432" s="70">
        <v>116479</v>
      </c>
      <c r="J432" s="70">
        <v>110143</v>
      </c>
      <c r="K432" s="70">
        <v>96564</v>
      </c>
      <c r="L432" s="70">
        <v>103383</v>
      </c>
      <c r="M432" s="70">
        <v>108658</v>
      </c>
      <c r="N432" s="70">
        <v>109988</v>
      </c>
      <c r="O432" s="112">
        <v>128953</v>
      </c>
      <c r="P432" s="112">
        <v>129801</v>
      </c>
      <c r="R432" s="111" t="s">
        <v>130</v>
      </c>
      <c r="S432" s="220">
        <v>3.9</v>
      </c>
      <c r="T432" s="220">
        <v>4.4000000000000004</v>
      </c>
      <c r="U432" s="220">
        <v>4.2</v>
      </c>
      <c r="V432" s="220">
        <v>4.2</v>
      </c>
      <c r="W432" s="220">
        <v>4.9000000000000004</v>
      </c>
      <c r="X432" s="220">
        <v>5.3</v>
      </c>
      <c r="Y432" s="220">
        <v>5.3</v>
      </c>
      <c r="Z432" s="220">
        <v>5.3</v>
      </c>
      <c r="AA432" s="220">
        <v>5.5</v>
      </c>
      <c r="AC432" s="111" t="s">
        <v>130</v>
      </c>
      <c r="AD432" s="70">
        <f t="shared" si="411"/>
        <v>8648.4840000000004</v>
      </c>
      <c r="AE432" s="70">
        <f t="shared" si="407"/>
        <v>10250.152</v>
      </c>
      <c r="AF432" s="70">
        <f t="shared" si="407"/>
        <v>9252.0120000000006</v>
      </c>
      <c r="AG432" s="70">
        <f t="shared" si="407"/>
        <v>8111.3760000000002</v>
      </c>
      <c r="AH432" s="70">
        <f t="shared" si="407"/>
        <v>10131.534</v>
      </c>
      <c r="AI432" s="70">
        <f t="shared" si="407"/>
        <v>11517.748</v>
      </c>
      <c r="AJ432" s="70">
        <f t="shared" si="407"/>
        <v>11658.728000000001</v>
      </c>
      <c r="AK432" s="70">
        <f t="shared" si="407"/>
        <v>13669.018</v>
      </c>
      <c r="AL432" s="70">
        <f t="shared" si="407"/>
        <v>14278.11</v>
      </c>
      <c r="AN432" s="111" t="s">
        <v>130</v>
      </c>
      <c r="AO432" s="113">
        <f t="shared" ref="AO432:AW432" si="438">H432/H429</f>
        <v>0.13756678089415059</v>
      </c>
      <c r="AP432" s="113">
        <f t="shared" si="438"/>
        <v>0.14561494966315003</v>
      </c>
      <c r="AQ432" s="113">
        <f t="shared" si="438"/>
        <v>0.13981725491390823</v>
      </c>
      <c r="AR432" s="113">
        <f t="shared" si="438"/>
        <v>0.12128017121197278</v>
      </c>
      <c r="AS432" s="113">
        <f t="shared" si="438"/>
        <v>0.1257517150780908</v>
      </c>
      <c r="AT432" s="113">
        <f t="shared" si="438"/>
        <v>0.12900475970551326</v>
      </c>
      <c r="AU432" s="113">
        <f t="shared" si="438"/>
        <v>0.12562261362377405</v>
      </c>
      <c r="AV432" s="113">
        <f t="shared" si="438"/>
        <v>0.14355993640982709</v>
      </c>
      <c r="AW432" s="113">
        <f t="shared" si="438"/>
        <v>0.1418870836744755</v>
      </c>
      <c r="AY432" s="111" t="s">
        <v>130</v>
      </c>
      <c r="AZ432" s="179">
        <f t="shared" si="409"/>
        <v>1.0730208909743745E-2</v>
      </c>
      <c r="BA432" s="179">
        <f t="shared" si="409"/>
        <v>1.2814115570357203E-2</v>
      </c>
      <c r="BB432" s="179">
        <f t="shared" si="409"/>
        <v>1.1744649412768291E-2</v>
      </c>
      <c r="BC432" s="179">
        <f t="shared" ref="BC432:BH443" si="439">2*(V432*AR432/100)</f>
        <v>1.0187534381805714E-2</v>
      </c>
      <c r="BD432" s="179">
        <f t="shared" si="439"/>
        <v>1.2323668077652899E-2</v>
      </c>
      <c r="BE432" s="179">
        <f t="shared" si="439"/>
        <v>1.3674504528784404E-2</v>
      </c>
      <c r="BF432" s="179">
        <f t="shared" si="439"/>
        <v>1.3315997044120049E-2</v>
      </c>
      <c r="BG432" s="179">
        <f t="shared" si="439"/>
        <v>1.5217353259441671E-2</v>
      </c>
      <c r="BH432" s="179">
        <f t="shared" si="439"/>
        <v>1.5607579204192305E-2</v>
      </c>
    </row>
    <row r="433" spans="2:68" s="108" customFormat="1" x14ac:dyDescent="0.25">
      <c r="B433" s="107"/>
      <c r="E433" s="109" t="s">
        <v>46</v>
      </c>
      <c r="F433" s="110" t="s">
        <v>66</v>
      </c>
      <c r="G433" s="111" t="s">
        <v>131</v>
      </c>
      <c r="H433" s="112">
        <v>269952</v>
      </c>
      <c r="I433" s="112">
        <v>288807</v>
      </c>
      <c r="J433" s="112">
        <v>287337</v>
      </c>
      <c r="K433" s="112">
        <v>296316</v>
      </c>
      <c r="L433" s="112">
        <v>322603</v>
      </c>
      <c r="M433" s="112">
        <v>338683</v>
      </c>
      <c r="N433" s="112">
        <v>362619</v>
      </c>
      <c r="O433" s="112">
        <v>366576</v>
      </c>
      <c r="P433" s="112">
        <v>388944</v>
      </c>
      <c r="R433" s="111" t="s">
        <v>131</v>
      </c>
      <c r="S433" s="220">
        <v>2.2000000000000002</v>
      </c>
      <c r="T433" s="220">
        <v>2.4</v>
      </c>
      <c r="U433" s="220">
        <v>2.2999999999999998</v>
      </c>
      <c r="V433" s="220">
        <v>2.2999999999999998</v>
      </c>
      <c r="W433" s="220">
        <v>2.4</v>
      </c>
      <c r="X433" s="220">
        <v>2.2000000000000002</v>
      </c>
      <c r="Y433" s="220">
        <v>2.4</v>
      </c>
      <c r="Z433" s="220">
        <v>3</v>
      </c>
      <c r="AA433" s="220">
        <v>2.5</v>
      </c>
      <c r="AC433" s="111" t="s">
        <v>131</v>
      </c>
      <c r="AD433" s="112">
        <f t="shared" si="411"/>
        <v>11877.888000000001</v>
      </c>
      <c r="AE433" s="112">
        <f t="shared" si="407"/>
        <v>13862.735999999999</v>
      </c>
      <c r="AF433" s="112">
        <f t="shared" si="407"/>
        <v>13217.502</v>
      </c>
      <c r="AG433" s="112">
        <f t="shared" si="407"/>
        <v>13630.535999999998</v>
      </c>
      <c r="AH433" s="112">
        <f t="shared" si="407"/>
        <v>15484.944</v>
      </c>
      <c r="AI433" s="112">
        <f t="shared" si="407"/>
        <v>14902.052000000001</v>
      </c>
      <c r="AJ433" s="112">
        <f t="shared" si="407"/>
        <v>17405.712</v>
      </c>
      <c r="AK433" s="112">
        <f t="shared" si="407"/>
        <v>21994.560000000001</v>
      </c>
      <c r="AL433" s="112">
        <f t="shared" si="407"/>
        <v>19447.2</v>
      </c>
      <c r="AN433" s="111" t="s">
        <v>131</v>
      </c>
      <c r="AO433" s="113">
        <f t="shared" ref="AO433:AW433" si="440">H433/H429</f>
        <v>0.33493053298163511</v>
      </c>
      <c r="AP433" s="113">
        <f t="shared" si="440"/>
        <v>0.36104891669198197</v>
      </c>
      <c r="AQ433" s="113">
        <f t="shared" si="440"/>
        <v>0.36475010282267278</v>
      </c>
      <c r="AR433" s="113">
        <f t="shared" si="440"/>
        <v>0.37215996865132894</v>
      </c>
      <c r="AS433" s="113">
        <f t="shared" si="440"/>
        <v>0.39240378533547415</v>
      </c>
      <c r="AT433" s="113">
        <f t="shared" si="440"/>
        <v>0.40210310360343782</v>
      </c>
      <c r="AU433" s="113">
        <f t="shared" si="440"/>
        <v>0.41416469550895846</v>
      </c>
      <c r="AV433" s="113">
        <f t="shared" si="440"/>
        <v>0.40809928616913738</v>
      </c>
      <c r="AW433" s="113">
        <f t="shared" si="440"/>
        <v>0.42515951242814154</v>
      </c>
      <c r="AY433" s="111" t="s">
        <v>131</v>
      </c>
      <c r="AZ433" s="179">
        <f t="shared" ref="AZ433:BB443" si="441">2*(S433*AO433/100)</f>
        <v>1.4736943451191946E-2</v>
      </c>
      <c r="BA433" s="179">
        <f t="shared" si="441"/>
        <v>1.7330348001215135E-2</v>
      </c>
      <c r="BB433" s="179">
        <f t="shared" si="441"/>
        <v>1.6778504729842946E-2</v>
      </c>
      <c r="BC433" s="179">
        <f t="shared" si="439"/>
        <v>1.711935855796113E-2</v>
      </c>
      <c r="BD433" s="179">
        <f t="shared" si="439"/>
        <v>1.8835381696102757E-2</v>
      </c>
      <c r="BE433" s="179">
        <f t="shared" si="439"/>
        <v>1.7692536558551266E-2</v>
      </c>
      <c r="BF433" s="179">
        <f t="shared" si="439"/>
        <v>1.9879905384430005E-2</v>
      </c>
      <c r="BG433" s="179">
        <f t="shared" si="439"/>
        <v>2.4485957170148245E-2</v>
      </c>
      <c r="BH433" s="179">
        <f t="shared" si="439"/>
        <v>2.1257975621407077E-2</v>
      </c>
    </row>
    <row r="434" spans="2:68" s="87" customFormat="1" x14ac:dyDescent="0.25">
      <c r="B434" s="84"/>
      <c r="C434" s="85"/>
      <c r="D434" s="85"/>
      <c r="E434" s="109" t="s">
        <v>4</v>
      </c>
      <c r="F434" s="110" t="s">
        <v>66</v>
      </c>
      <c r="G434" s="195" t="s">
        <v>7</v>
      </c>
      <c r="H434" s="69">
        <v>398404</v>
      </c>
      <c r="I434" s="69">
        <v>394991</v>
      </c>
      <c r="J434" s="69">
        <v>389196</v>
      </c>
      <c r="K434" s="69">
        <v>393758</v>
      </c>
      <c r="L434" s="69">
        <v>406840</v>
      </c>
      <c r="M434" s="69">
        <v>418513</v>
      </c>
      <c r="N434" s="69">
        <v>438936</v>
      </c>
      <c r="O434" s="69">
        <v>453841</v>
      </c>
      <c r="P434" s="69">
        <v>461792</v>
      </c>
      <c r="R434" s="195" t="s">
        <v>7</v>
      </c>
      <c r="S434" s="226">
        <v>1.6</v>
      </c>
      <c r="T434" s="226">
        <v>0.8</v>
      </c>
      <c r="U434" s="226">
        <v>0.8</v>
      </c>
      <c r="V434" s="226">
        <v>0.7</v>
      </c>
      <c r="W434" s="226">
        <v>0.9</v>
      </c>
      <c r="X434" s="226">
        <v>0.9</v>
      </c>
      <c r="Y434" s="226">
        <v>0.9</v>
      </c>
      <c r="Z434" s="226">
        <v>1</v>
      </c>
      <c r="AA434" s="226">
        <v>1</v>
      </c>
      <c r="AC434" s="195" t="s">
        <v>7</v>
      </c>
      <c r="AD434" s="69">
        <f t="shared" si="411"/>
        <v>12748.928</v>
      </c>
      <c r="AE434" s="69">
        <f t="shared" si="407"/>
        <v>6319.8560000000007</v>
      </c>
      <c r="AF434" s="69">
        <f t="shared" si="407"/>
        <v>6227.1359999999995</v>
      </c>
      <c r="AG434" s="69">
        <f t="shared" si="407"/>
        <v>5512.6119999999992</v>
      </c>
      <c r="AH434" s="69">
        <f t="shared" si="407"/>
        <v>7323.12</v>
      </c>
      <c r="AI434" s="69">
        <f t="shared" si="407"/>
        <v>7533.2340000000004</v>
      </c>
      <c r="AJ434" s="69">
        <f t="shared" si="407"/>
        <v>7900.8480000000009</v>
      </c>
      <c r="AK434" s="69">
        <f t="shared" si="407"/>
        <v>9076.82</v>
      </c>
      <c r="AL434" s="69">
        <f t="shared" si="407"/>
        <v>9235.84</v>
      </c>
      <c r="AN434" s="195" t="s">
        <v>7</v>
      </c>
      <c r="AO434" s="98">
        <f t="shared" ref="AO434:AW434" si="442">H434/H434</f>
        <v>1</v>
      </c>
      <c r="AP434" s="98">
        <f t="shared" si="442"/>
        <v>1</v>
      </c>
      <c r="AQ434" s="98">
        <f t="shared" si="442"/>
        <v>1</v>
      </c>
      <c r="AR434" s="98">
        <f t="shared" si="442"/>
        <v>1</v>
      </c>
      <c r="AS434" s="98">
        <f t="shared" si="442"/>
        <v>1</v>
      </c>
      <c r="AT434" s="98">
        <f t="shared" si="442"/>
        <v>1</v>
      </c>
      <c r="AU434" s="98">
        <f t="shared" si="442"/>
        <v>1</v>
      </c>
      <c r="AV434" s="98">
        <f t="shared" si="442"/>
        <v>1</v>
      </c>
      <c r="AW434" s="98">
        <f t="shared" si="442"/>
        <v>1</v>
      </c>
      <c r="AX434" s="191"/>
      <c r="AY434" s="195" t="s">
        <v>7</v>
      </c>
      <c r="AZ434" s="178">
        <f t="shared" si="441"/>
        <v>3.2000000000000001E-2</v>
      </c>
      <c r="BA434" s="178">
        <f t="shared" si="441"/>
        <v>1.6E-2</v>
      </c>
      <c r="BB434" s="178">
        <f t="shared" si="441"/>
        <v>1.6E-2</v>
      </c>
      <c r="BC434" s="178">
        <f t="shared" si="439"/>
        <v>1.3999999999999999E-2</v>
      </c>
      <c r="BD434" s="178">
        <f t="shared" si="439"/>
        <v>1.8000000000000002E-2</v>
      </c>
      <c r="BE434" s="178">
        <f t="shared" si="439"/>
        <v>1.8000000000000002E-2</v>
      </c>
      <c r="BF434" s="178">
        <f t="shared" si="439"/>
        <v>1.8000000000000002E-2</v>
      </c>
      <c r="BG434" s="178">
        <f t="shared" si="439"/>
        <v>0.02</v>
      </c>
      <c r="BH434" s="178">
        <f t="shared" si="439"/>
        <v>0.02</v>
      </c>
      <c r="BI434" s="191"/>
      <c r="BJ434" s="191"/>
      <c r="BK434" s="191"/>
      <c r="BL434" s="191"/>
      <c r="BM434" s="191"/>
      <c r="BN434" s="191"/>
      <c r="BO434" s="191"/>
      <c r="BP434" s="191"/>
    </row>
    <row r="435" spans="2:68" s="108" customFormat="1" x14ac:dyDescent="0.25">
      <c r="B435" s="107"/>
      <c r="E435" s="109" t="s">
        <v>4</v>
      </c>
      <c r="F435" s="110" t="s">
        <v>66</v>
      </c>
      <c r="G435" s="111" t="s">
        <v>54</v>
      </c>
      <c r="H435" s="112">
        <v>111304</v>
      </c>
      <c r="I435" s="112">
        <v>97738</v>
      </c>
      <c r="J435" s="112">
        <v>96779</v>
      </c>
      <c r="K435" s="112">
        <v>108902</v>
      </c>
      <c r="L435" s="112">
        <v>97946</v>
      </c>
      <c r="M435" s="112">
        <v>91491</v>
      </c>
      <c r="N435" s="112">
        <v>100074</v>
      </c>
      <c r="O435" s="112">
        <v>102302</v>
      </c>
      <c r="P435" s="112">
        <v>102311</v>
      </c>
      <c r="R435" s="111" t="s">
        <v>54</v>
      </c>
      <c r="S435" s="220">
        <v>3.9</v>
      </c>
      <c r="T435" s="220">
        <v>4.4000000000000004</v>
      </c>
      <c r="U435" s="220">
        <v>4.2</v>
      </c>
      <c r="V435" s="220">
        <v>3.9</v>
      </c>
      <c r="W435" s="220">
        <v>4.9000000000000004</v>
      </c>
      <c r="X435" s="220">
        <v>5.3</v>
      </c>
      <c r="Y435" s="220">
        <v>4.0999999999999996</v>
      </c>
      <c r="Z435" s="220">
        <v>6</v>
      </c>
      <c r="AA435" s="220">
        <v>6.2</v>
      </c>
      <c r="AC435" s="111" t="s">
        <v>54</v>
      </c>
      <c r="AD435" s="112">
        <f t="shared" si="411"/>
        <v>8681.7119999999995</v>
      </c>
      <c r="AE435" s="112">
        <f t="shared" si="407"/>
        <v>8600.9439999999995</v>
      </c>
      <c r="AF435" s="112">
        <f t="shared" si="407"/>
        <v>8129.4359999999997</v>
      </c>
      <c r="AG435" s="112">
        <f t="shared" si="407"/>
        <v>8494.3559999999998</v>
      </c>
      <c r="AH435" s="112">
        <f t="shared" si="407"/>
        <v>9598.7080000000005</v>
      </c>
      <c r="AI435" s="112">
        <f t="shared" si="407"/>
        <v>9698.0460000000003</v>
      </c>
      <c r="AJ435" s="112">
        <f t="shared" si="407"/>
        <v>8206.0679999999993</v>
      </c>
      <c r="AK435" s="112">
        <f t="shared" si="407"/>
        <v>12276.24</v>
      </c>
      <c r="AL435" s="112">
        <f t="shared" si="407"/>
        <v>12686.564000000002</v>
      </c>
      <c r="AN435" s="111" t="s">
        <v>54</v>
      </c>
      <c r="AO435" s="113">
        <f t="shared" ref="AO435:AW435" si="443">H435/H434</f>
        <v>0.27937470507324225</v>
      </c>
      <c r="AP435" s="113">
        <f t="shared" si="443"/>
        <v>0.24744361263927533</v>
      </c>
      <c r="AQ435" s="113">
        <f t="shared" si="443"/>
        <v>0.24866391227042417</v>
      </c>
      <c r="AR435" s="113">
        <f t="shared" si="443"/>
        <v>0.27657088871845142</v>
      </c>
      <c r="AS435" s="113">
        <f t="shared" si="443"/>
        <v>0.24074820568282371</v>
      </c>
      <c r="AT435" s="113">
        <f t="shared" si="443"/>
        <v>0.21860969671193009</v>
      </c>
      <c r="AU435" s="113">
        <f t="shared" si="443"/>
        <v>0.22799223577013505</v>
      </c>
      <c r="AV435" s="113">
        <f t="shared" si="443"/>
        <v>0.22541374622389779</v>
      </c>
      <c r="AW435" s="113">
        <f t="shared" si="443"/>
        <v>0.22155212736470098</v>
      </c>
      <c r="AY435" s="111" t="s">
        <v>54</v>
      </c>
      <c r="AZ435" s="179">
        <f t="shared" si="441"/>
        <v>2.1791226995712894E-2</v>
      </c>
      <c r="BA435" s="179">
        <f t="shared" si="441"/>
        <v>2.1775037912256229E-2</v>
      </c>
      <c r="BB435" s="179">
        <f t="shared" si="441"/>
        <v>2.0887768630715633E-2</v>
      </c>
      <c r="BC435" s="179">
        <f t="shared" si="439"/>
        <v>2.157252932003921E-2</v>
      </c>
      <c r="BD435" s="179">
        <f t="shared" si="439"/>
        <v>2.3593324156916725E-2</v>
      </c>
      <c r="BE435" s="179">
        <f t="shared" si="439"/>
        <v>2.3172627851464588E-2</v>
      </c>
      <c r="BF435" s="179">
        <f t="shared" si="439"/>
        <v>1.8695363333151072E-2</v>
      </c>
      <c r="BG435" s="179">
        <f t="shared" si="439"/>
        <v>2.7049649546867737E-2</v>
      </c>
      <c r="BH435" s="179">
        <f t="shared" si="439"/>
        <v>2.7472463793222924E-2</v>
      </c>
    </row>
    <row r="436" spans="2:68" s="108" customFormat="1" x14ac:dyDescent="0.25">
      <c r="B436" s="107"/>
      <c r="E436" s="109" t="s">
        <v>4</v>
      </c>
      <c r="F436" s="110" t="s">
        <v>66</v>
      </c>
      <c r="G436" s="111" t="s">
        <v>55</v>
      </c>
      <c r="H436" s="70">
        <v>108448</v>
      </c>
      <c r="I436" s="70">
        <v>110454</v>
      </c>
      <c r="J436" s="70">
        <v>111719</v>
      </c>
      <c r="K436" s="70">
        <v>107967</v>
      </c>
      <c r="L436" s="70">
        <v>116701</v>
      </c>
      <c r="M436" s="112">
        <v>109356</v>
      </c>
      <c r="N436" s="112">
        <v>125206</v>
      </c>
      <c r="O436" s="112">
        <v>118615</v>
      </c>
      <c r="P436" s="112">
        <v>117890</v>
      </c>
      <c r="R436" s="111" t="s">
        <v>55</v>
      </c>
      <c r="S436" s="81">
        <v>3.9</v>
      </c>
      <c r="T436" s="81">
        <v>4.4000000000000004</v>
      </c>
      <c r="U436" s="81">
        <v>4.2</v>
      </c>
      <c r="V436" s="81">
        <v>4.0999999999999996</v>
      </c>
      <c r="W436" s="81">
        <v>4.9000000000000004</v>
      </c>
      <c r="X436" s="81">
        <v>5.3</v>
      </c>
      <c r="Y436" s="81">
        <v>4.8</v>
      </c>
      <c r="Z436" s="81">
        <v>6</v>
      </c>
      <c r="AA436" s="81">
        <v>6.2</v>
      </c>
      <c r="AC436" s="111" t="s">
        <v>55</v>
      </c>
      <c r="AD436" s="70">
        <f t="shared" si="411"/>
        <v>8458.9439999999995</v>
      </c>
      <c r="AE436" s="70">
        <f t="shared" si="407"/>
        <v>9719.9520000000011</v>
      </c>
      <c r="AF436" s="70">
        <f t="shared" ref="AF436:AL443" si="444">2*(J436*U436/100)</f>
        <v>9384.3960000000006</v>
      </c>
      <c r="AG436" s="70">
        <f t="shared" si="444"/>
        <v>8853.2939999999999</v>
      </c>
      <c r="AH436" s="70">
        <f t="shared" si="444"/>
        <v>11436.698</v>
      </c>
      <c r="AI436" s="70">
        <f t="shared" si="444"/>
        <v>11591.735999999999</v>
      </c>
      <c r="AJ436" s="70">
        <f t="shared" si="444"/>
        <v>12019.775999999998</v>
      </c>
      <c r="AK436" s="70">
        <f t="shared" si="444"/>
        <v>14233.8</v>
      </c>
      <c r="AL436" s="70">
        <f t="shared" si="444"/>
        <v>14618.36</v>
      </c>
      <c r="AN436" s="111" t="s">
        <v>55</v>
      </c>
      <c r="AO436" s="113">
        <f t="shared" ref="AO436:AW436" si="445">H436/H434</f>
        <v>0.27220610234837</v>
      </c>
      <c r="AP436" s="113">
        <f t="shared" si="445"/>
        <v>0.27963675121711634</v>
      </c>
      <c r="AQ436" s="113">
        <f t="shared" si="445"/>
        <v>0.2870507405009301</v>
      </c>
      <c r="AR436" s="113">
        <f t="shared" si="445"/>
        <v>0.27419633378877384</v>
      </c>
      <c r="AS436" s="113">
        <f t="shared" si="445"/>
        <v>0.2868474093009537</v>
      </c>
      <c r="AT436" s="113">
        <f t="shared" si="445"/>
        <v>0.26129654275972314</v>
      </c>
      <c r="AU436" s="113">
        <f t="shared" si="445"/>
        <v>0.28524887455118741</v>
      </c>
      <c r="AV436" s="113">
        <f t="shared" si="445"/>
        <v>0.26135805271009011</v>
      </c>
      <c r="AW436" s="113">
        <f t="shared" si="445"/>
        <v>0.25528809507310651</v>
      </c>
      <c r="AY436" s="111" t="s">
        <v>55</v>
      </c>
      <c r="AZ436" s="179">
        <f t="shared" si="441"/>
        <v>2.1232075983172859E-2</v>
      </c>
      <c r="BA436" s="179">
        <f t="shared" si="441"/>
        <v>2.4608034107106241E-2</v>
      </c>
      <c r="BB436" s="179">
        <f t="shared" si="441"/>
        <v>2.4112262202078131E-2</v>
      </c>
      <c r="BC436" s="179">
        <f t="shared" si="439"/>
        <v>2.2484099370679453E-2</v>
      </c>
      <c r="BD436" s="179">
        <f t="shared" si="439"/>
        <v>2.8111046111493464E-2</v>
      </c>
      <c r="BE436" s="179">
        <f t="shared" si="439"/>
        <v>2.7697433532530652E-2</v>
      </c>
      <c r="BF436" s="179">
        <f t="shared" si="439"/>
        <v>2.7383891956913993E-2</v>
      </c>
      <c r="BG436" s="179">
        <f t="shared" si="439"/>
        <v>3.1362966325210816E-2</v>
      </c>
      <c r="BH436" s="179">
        <f t="shared" si="439"/>
        <v>3.1655723789065206E-2</v>
      </c>
    </row>
    <row r="437" spans="2:68" s="108" customFormat="1" x14ac:dyDescent="0.25">
      <c r="B437" s="107"/>
      <c r="E437" s="109" t="s">
        <v>4</v>
      </c>
      <c r="F437" s="110" t="s">
        <v>66</v>
      </c>
      <c r="G437" s="111" t="s">
        <v>130</v>
      </c>
      <c r="H437" s="70">
        <v>58761</v>
      </c>
      <c r="I437" s="70">
        <v>60248</v>
      </c>
      <c r="J437" s="70">
        <v>56652</v>
      </c>
      <c r="K437" s="70">
        <v>48880</v>
      </c>
      <c r="L437" s="70">
        <v>53968</v>
      </c>
      <c r="M437" s="70">
        <v>56091</v>
      </c>
      <c r="N437" s="70">
        <v>60855</v>
      </c>
      <c r="O437" s="112">
        <v>71748</v>
      </c>
      <c r="P437" s="112">
        <v>73194</v>
      </c>
      <c r="R437" s="111" t="s">
        <v>130</v>
      </c>
      <c r="S437" s="220">
        <v>5.5</v>
      </c>
      <c r="T437" s="220">
        <v>5.8</v>
      </c>
      <c r="U437" s="220">
        <v>6.1</v>
      </c>
      <c r="V437" s="220">
        <v>6.3</v>
      </c>
      <c r="W437" s="220">
        <v>7.1</v>
      </c>
      <c r="X437" s="220">
        <v>7.8</v>
      </c>
      <c r="Y437" s="220">
        <v>7.1</v>
      </c>
      <c r="Z437" s="220">
        <v>7.3</v>
      </c>
      <c r="AA437" s="220">
        <v>7.6</v>
      </c>
      <c r="AC437" s="111" t="s">
        <v>130</v>
      </c>
      <c r="AD437" s="70">
        <f t="shared" si="411"/>
        <v>6463.71</v>
      </c>
      <c r="AE437" s="70">
        <f t="shared" si="411"/>
        <v>6988.7679999999991</v>
      </c>
      <c r="AF437" s="70">
        <f t="shared" si="444"/>
        <v>6911.543999999999</v>
      </c>
      <c r="AG437" s="70">
        <f t="shared" si="444"/>
        <v>6158.88</v>
      </c>
      <c r="AH437" s="70">
        <f t="shared" si="444"/>
        <v>7663.4560000000001</v>
      </c>
      <c r="AI437" s="70">
        <f t="shared" si="444"/>
        <v>8750.1959999999999</v>
      </c>
      <c r="AJ437" s="70">
        <f t="shared" si="444"/>
        <v>8641.41</v>
      </c>
      <c r="AK437" s="70">
        <f t="shared" si="444"/>
        <v>10475.207999999999</v>
      </c>
      <c r="AL437" s="70">
        <f t="shared" si="444"/>
        <v>11125.488000000001</v>
      </c>
      <c r="AN437" s="111" t="s">
        <v>130</v>
      </c>
      <c r="AO437" s="113">
        <f t="shared" ref="AO437:AW437" si="446">H437/H434</f>
        <v>0.14749098904629471</v>
      </c>
      <c r="AP437" s="113">
        <f t="shared" si="446"/>
        <v>0.1525300576468831</v>
      </c>
      <c r="AQ437" s="113">
        <f t="shared" si="446"/>
        <v>0.14556161933832826</v>
      </c>
      <c r="AR437" s="113">
        <f t="shared" si="446"/>
        <v>0.12413716038785244</v>
      </c>
      <c r="AS437" s="113">
        <f t="shared" si="446"/>
        <v>0.13265165667092715</v>
      </c>
      <c r="AT437" s="113">
        <f t="shared" si="446"/>
        <v>0.13402451058867945</v>
      </c>
      <c r="AU437" s="113">
        <f t="shared" si="446"/>
        <v>0.13864207993876101</v>
      </c>
      <c r="AV437" s="113">
        <f t="shared" si="446"/>
        <v>0.15809060882555784</v>
      </c>
      <c r="AW437" s="113">
        <f t="shared" si="446"/>
        <v>0.15849993070473287</v>
      </c>
      <c r="AY437" s="111" t="s">
        <v>130</v>
      </c>
      <c r="AZ437" s="179">
        <f t="shared" si="441"/>
        <v>1.6224008795092417E-2</v>
      </c>
      <c r="BA437" s="179">
        <f t="shared" si="441"/>
        <v>1.7693486687038441E-2</v>
      </c>
      <c r="BB437" s="179">
        <f t="shared" si="441"/>
        <v>1.7758517559276047E-2</v>
      </c>
      <c r="BC437" s="179">
        <f t="shared" si="439"/>
        <v>1.5641282208869407E-2</v>
      </c>
      <c r="BD437" s="179">
        <f t="shared" si="439"/>
        <v>1.8836535247271656E-2</v>
      </c>
      <c r="BE437" s="179">
        <f t="shared" si="439"/>
        <v>2.0907823651833995E-2</v>
      </c>
      <c r="BF437" s="179">
        <f t="shared" si="439"/>
        <v>1.9687175351304063E-2</v>
      </c>
      <c r="BG437" s="179">
        <f t="shared" si="439"/>
        <v>2.3081228888531445E-2</v>
      </c>
      <c r="BH437" s="179">
        <f t="shared" si="439"/>
        <v>2.4091989467119393E-2</v>
      </c>
    </row>
    <row r="438" spans="2:68" s="108" customFormat="1" x14ac:dyDescent="0.25">
      <c r="B438" s="107"/>
      <c r="E438" s="109" t="s">
        <v>4</v>
      </c>
      <c r="F438" s="110" t="s">
        <v>66</v>
      </c>
      <c r="G438" s="111" t="s">
        <v>131</v>
      </c>
      <c r="H438" s="112">
        <v>118408</v>
      </c>
      <c r="I438" s="112">
        <v>124477</v>
      </c>
      <c r="J438" s="112">
        <v>121464</v>
      </c>
      <c r="K438" s="112">
        <v>126243</v>
      </c>
      <c r="L438" s="112">
        <v>136782</v>
      </c>
      <c r="M438" s="112">
        <v>159160</v>
      </c>
      <c r="N438" s="112">
        <v>151189</v>
      </c>
      <c r="O438" s="112">
        <v>161176</v>
      </c>
      <c r="P438" s="112">
        <v>168397</v>
      </c>
      <c r="R438" s="111" t="s">
        <v>131</v>
      </c>
      <c r="S438" s="220">
        <v>3.9</v>
      </c>
      <c r="T438" s="220">
        <v>4.4000000000000004</v>
      </c>
      <c r="U438" s="220">
        <v>3.2</v>
      </c>
      <c r="V438" s="220">
        <v>3.3</v>
      </c>
      <c r="W438" s="220">
        <v>3.5</v>
      </c>
      <c r="X438" s="220">
        <v>3</v>
      </c>
      <c r="Y438" s="220">
        <v>3.3</v>
      </c>
      <c r="Z438" s="220">
        <v>4.7</v>
      </c>
      <c r="AA438" s="220">
        <v>4.9000000000000004</v>
      </c>
      <c r="AC438" s="111" t="s">
        <v>131</v>
      </c>
      <c r="AD438" s="112">
        <f t="shared" si="411"/>
        <v>9235.8240000000005</v>
      </c>
      <c r="AE438" s="112">
        <f t="shared" si="411"/>
        <v>10953.976000000001</v>
      </c>
      <c r="AF438" s="112">
        <f t="shared" si="444"/>
        <v>7773.6960000000008</v>
      </c>
      <c r="AG438" s="112">
        <f t="shared" si="444"/>
        <v>8332.0379999999986</v>
      </c>
      <c r="AH438" s="112">
        <f t="shared" si="444"/>
        <v>9574.74</v>
      </c>
      <c r="AI438" s="112">
        <f t="shared" si="444"/>
        <v>9549.6</v>
      </c>
      <c r="AJ438" s="112">
        <f t="shared" si="444"/>
        <v>9978.4739999999983</v>
      </c>
      <c r="AK438" s="112">
        <f t="shared" si="444"/>
        <v>15150.544000000002</v>
      </c>
      <c r="AL438" s="112">
        <f t="shared" si="444"/>
        <v>16502.906000000003</v>
      </c>
      <c r="AN438" s="111" t="s">
        <v>131</v>
      </c>
      <c r="AO438" s="113">
        <f t="shared" ref="AO438:AW438" si="447">H438/H434</f>
        <v>0.29720585134687405</v>
      </c>
      <c r="AP438" s="113">
        <f t="shared" si="447"/>
        <v>0.31513882594793297</v>
      </c>
      <c r="AQ438" s="113">
        <f t="shared" si="447"/>
        <v>0.31208953843307741</v>
      </c>
      <c r="AR438" s="113">
        <f t="shared" si="447"/>
        <v>0.32061062886341357</v>
      </c>
      <c r="AS438" s="113">
        <f t="shared" si="447"/>
        <v>0.33620587946121328</v>
      </c>
      <c r="AT438" s="113">
        <f t="shared" si="447"/>
        <v>0.38029881986939473</v>
      </c>
      <c r="AU438" s="113">
        <f t="shared" si="447"/>
        <v>0.34444429256201359</v>
      </c>
      <c r="AV438" s="113">
        <f t="shared" si="447"/>
        <v>0.35513759224045427</v>
      </c>
      <c r="AW438" s="113">
        <f t="shared" si="447"/>
        <v>0.36465984685745961</v>
      </c>
      <c r="AY438" s="111" t="s">
        <v>131</v>
      </c>
      <c r="AZ438" s="179">
        <f t="shared" si="441"/>
        <v>2.3182056405056176E-2</v>
      </c>
      <c r="BA438" s="179">
        <f t="shared" si="441"/>
        <v>2.7732216683418104E-2</v>
      </c>
      <c r="BB438" s="179">
        <f t="shared" si="441"/>
        <v>1.9973730459716954E-2</v>
      </c>
      <c r="BC438" s="179">
        <f t="shared" si="439"/>
        <v>2.1160301504985296E-2</v>
      </c>
      <c r="BD438" s="179">
        <f t="shared" si="439"/>
        <v>2.3534411562284929E-2</v>
      </c>
      <c r="BE438" s="179">
        <f t="shared" si="439"/>
        <v>2.2817929192163681E-2</v>
      </c>
      <c r="BF438" s="179">
        <f t="shared" si="439"/>
        <v>2.2733323309092897E-2</v>
      </c>
      <c r="BG438" s="179">
        <f t="shared" si="439"/>
        <v>3.3382933670602702E-2</v>
      </c>
      <c r="BH438" s="179">
        <f t="shared" si="439"/>
        <v>3.5736664992031042E-2</v>
      </c>
    </row>
    <row r="439" spans="2:68" s="87" customFormat="1" x14ac:dyDescent="0.25">
      <c r="B439" s="84"/>
      <c r="C439" s="85"/>
      <c r="D439" s="85"/>
      <c r="E439" s="109" t="s">
        <v>5</v>
      </c>
      <c r="F439" s="110" t="s">
        <v>66</v>
      </c>
      <c r="G439" s="195" t="s">
        <v>7</v>
      </c>
      <c r="H439" s="69">
        <v>407590</v>
      </c>
      <c r="I439" s="69">
        <v>404920</v>
      </c>
      <c r="J439" s="69">
        <v>398568</v>
      </c>
      <c r="K439" s="69">
        <v>402448</v>
      </c>
      <c r="L439" s="69">
        <v>415280</v>
      </c>
      <c r="M439" s="69">
        <v>423766</v>
      </c>
      <c r="N439" s="69">
        <v>436607</v>
      </c>
      <c r="O439" s="69">
        <v>444411</v>
      </c>
      <c r="P439" s="69">
        <v>453027</v>
      </c>
      <c r="R439" s="195" t="s">
        <v>7</v>
      </c>
      <c r="S439" s="226">
        <v>1.5</v>
      </c>
      <c r="T439" s="226">
        <v>0.8</v>
      </c>
      <c r="U439" s="226">
        <v>0.8</v>
      </c>
      <c r="V439" s="226">
        <v>0.7</v>
      </c>
      <c r="W439" s="226">
        <v>0.9</v>
      </c>
      <c r="X439" s="226">
        <v>0.9</v>
      </c>
      <c r="Y439" s="226">
        <v>0.9</v>
      </c>
      <c r="Z439" s="226">
        <v>1</v>
      </c>
      <c r="AA439" s="226">
        <v>1</v>
      </c>
      <c r="AC439" s="195" t="s">
        <v>7</v>
      </c>
      <c r="AD439" s="69">
        <f t="shared" si="411"/>
        <v>12227.7</v>
      </c>
      <c r="AE439" s="69">
        <f t="shared" si="411"/>
        <v>6478.72</v>
      </c>
      <c r="AF439" s="69">
        <f t="shared" si="444"/>
        <v>6377.0880000000006</v>
      </c>
      <c r="AG439" s="69">
        <f t="shared" si="444"/>
        <v>5634.2719999999999</v>
      </c>
      <c r="AH439" s="69">
        <f t="shared" si="444"/>
        <v>7475.04</v>
      </c>
      <c r="AI439" s="69">
        <f t="shared" si="444"/>
        <v>7627.7880000000005</v>
      </c>
      <c r="AJ439" s="69">
        <f t="shared" si="444"/>
        <v>7858.9259999999995</v>
      </c>
      <c r="AK439" s="69">
        <f t="shared" si="444"/>
        <v>8888.2199999999993</v>
      </c>
      <c r="AL439" s="69">
        <f t="shared" si="444"/>
        <v>9060.5400000000009</v>
      </c>
      <c r="AN439" s="195" t="s">
        <v>7</v>
      </c>
      <c r="AO439" s="98">
        <f t="shared" ref="AO439:AW439" si="448">H439/H439</f>
        <v>1</v>
      </c>
      <c r="AP439" s="98">
        <f t="shared" si="448"/>
        <v>1</v>
      </c>
      <c r="AQ439" s="98">
        <f t="shared" si="448"/>
        <v>1</v>
      </c>
      <c r="AR439" s="98">
        <f t="shared" si="448"/>
        <v>1</v>
      </c>
      <c r="AS439" s="98">
        <f t="shared" si="448"/>
        <v>1</v>
      </c>
      <c r="AT439" s="98">
        <f t="shared" si="448"/>
        <v>1</v>
      </c>
      <c r="AU439" s="98">
        <f t="shared" si="448"/>
        <v>1</v>
      </c>
      <c r="AV439" s="98">
        <f t="shared" si="448"/>
        <v>1</v>
      </c>
      <c r="AW439" s="98">
        <f t="shared" si="448"/>
        <v>1</v>
      </c>
      <c r="AX439" s="191"/>
      <c r="AY439" s="195" t="s">
        <v>7</v>
      </c>
      <c r="AZ439" s="178">
        <f t="shared" si="441"/>
        <v>0.03</v>
      </c>
      <c r="BA439" s="178">
        <f t="shared" si="441"/>
        <v>1.6E-2</v>
      </c>
      <c r="BB439" s="178">
        <f t="shared" si="441"/>
        <v>1.6E-2</v>
      </c>
      <c r="BC439" s="178">
        <f t="shared" si="439"/>
        <v>1.3999999999999999E-2</v>
      </c>
      <c r="BD439" s="178">
        <f t="shared" si="439"/>
        <v>1.8000000000000002E-2</v>
      </c>
      <c r="BE439" s="178">
        <f t="shared" si="439"/>
        <v>1.8000000000000002E-2</v>
      </c>
      <c r="BF439" s="178">
        <f t="shared" si="439"/>
        <v>1.8000000000000002E-2</v>
      </c>
      <c r="BG439" s="178">
        <f t="shared" si="439"/>
        <v>0.02</v>
      </c>
      <c r="BH439" s="178">
        <f t="shared" si="439"/>
        <v>0.02</v>
      </c>
      <c r="BI439" s="191"/>
      <c r="BJ439" s="191"/>
      <c r="BK439" s="191"/>
      <c r="BL439" s="191"/>
      <c r="BM439" s="191"/>
      <c r="BN439" s="191"/>
      <c r="BO439" s="191"/>
      <c r="BP439" s="191"/>
    </row>
    <row r="440" spans="2:68" s="108" customFormat="1" x14ac:dyDescent="0.25">
      <c r="B440" s="107"/>
      <c r="E440" s="109" t="s">
        <v>5</v>
      </c>
      <c r="F440" s="110" t="s">
        <v>66</v>
      </c>
      <c r="G440" s="111" t="s">
        <v>54</v>
      </c>
      <c r="H440" s="112">
        <v>111232</v>
      </c>
      <c r="I440" s="112">
        <v>92894</v>
      </c>
      <c r="J440" s="112">
        <v>90980</v>
      </c>
      <c r="K440" s="112">
        <v>94792</v>
      </c>
      <c r="L440" s="112">
        <v>83866</v>
      </c>
      <c r="M440" s="112">
        <v>91844</v>
      </c>
      <c r="N440" s="112">
        <v>88648</v>
      </c>
      <c r="O440" s="112">
        <v>75928</v>
      </c>
      <c r="P440" s="112">
        <v>80879</v>
      </c>
      <c r="R440" s="111" t="s">
        <v>54</v>
      </c>
      <c r="S440" s="220">
        <v>3.9</v>
      </c>
      <c r="T440" s="220">
        <v>4.5999999999999996</v>
      </c>
      <c r="U440" s="220">
        <v>4.3</v>
      </c>
      <c r="V440" s="220">
        <v>4</v>
      </c>
      <c r="W440" s="220">
        <v>5.3</v>
      </c>
      <c r="X440" s="220">
        <v>5.5</v>
      </c>
      <c r="Y440" s="220">
        <v>5.4</v>
      </c>
      <c r="Z440" s="220">
        <v>7.1</v>
      </c>
      <c r="AA440" s="220">
        <v>7.1</v>
      </c>
      <c r="AC440" s="111" t="s">
        <v>54</v>
      </c>
      <c r="AD440" s="112">
        <f t="shared" si="411"/>
        <v>8676.0959999999995</v>
      </c>
      <c r="AE440" s="112">
        <f t="shared" si="411"/>
        <v>8546.2479999999996</v>
      </c>
      <c r="AF440" s="112">
        <f t="shared" si="444"/>
        <v>7824.28</v>
      </c>
      <c r="AG440" s="112">
        <f t="shared" si="444"/>
        <v>7583.36</v>
      </c>
      <c r="AH440" s="112">
        <f t="shared" si="444"/>
        <v>8889.7960000000003</v>
      </c>
      <c r="AI440" s="112">
        <f t="shared" si="444"/>
        <v>10102.84</v>
      </c>
      <c r="AJ440" s="112">
        <f t="shared" si="444"/>
        <v>9573.9840000000004</v>
      </c>
      <c r="AK440" s="112">
        <f t="shared" si="444"/>
        <v>10781.775999999998</v>
      </c>
      <c r="AL440" s="112">
        <f t="shared" si="444"/>
        <v>11484.818000000001</v>
      </c>
      <c r="AN440" s="111" t="s">
        <v>54</v>
      </c>
      <c r="AO440" s="113">
        <f t="shared" ref="AO440:AW440" si="449">H440/H439</f>
        <v>0.27290169042420082</v>
      </c>
      <c r="AP440" s="113">
        <f t="shared" si="449"/>
        <v>0.22941321742566434</v>
      </c>
      <c r="AQ440" s="113">
        <f t="shared" si="449"/>
        <v>0.22826719656369804</v>
      </c>
      <c r="AR440" s="113">
        <f t="shared" si="449"/>
        <v>0.23553850435335746</v>
      </c>
      <c r="AS440" s="113">
        <f t="shared" si="449"/>
        <v>0.2019504912348295</v>
      </c>
      <c r="AT440" s="113">
        <f t="shared" si="449"/>
        <v>0.21673281952775825</v>
      </c>
      <c r="AU440" s="113">
        <f t="shared" si="449"/>
        <v>0.20303843044202224</v>
      </c>
      <c r="AV440" s="113">
        <f t="shared" si="449"/>
        <v>0.17085085652695364</v>
      </c>
      <c r="AW440" s="113">
        <f t="shared" si="449"/>
        <v>0.17853019797936989</v>
      </c>
      <c r="AY440" s="111" t="s">
        <v>54</v>
      </c>
      <c r="AZ440" s="179">
        <f t="shared" si="441"/>
        <v>2.1286331853087662E-2</v>
      </c>
      <c r="BA440" s="179">
        <f t="shared" si="441"/>
        <v>2.1106016003161119E-2</v>
      </c>
      <c r="BB440" s="179">
        <f t="shared" si="441"/>
        <v>1.9630978904478031E-2</v>
      </c>
      <c r="BC440" s="179">
        <f t="shared" si="439"/>
        <v>1.8843080348268596E-2</v>
      </c>
      <c r="BD440" s="179">
        <f t="shared" si="439"/>
        <v>2.1406752070891929E-2</v>
      </c>
      <c r="BE440" s="179">
        <f t="shared" si="439"/>
        <v>2.3840610148053408E-2</v>
      </c>
      <c r="BF440" s="179">
        <f t="shared" si="439"/>
        <v>2.1928150487738406E-2</v>
      </c>
      <c r="BG440" s="179">
        <f t="shared" si="439"/>
        <v>2.4260821626827415E-2</v>
      </c>
      <c r="BH440" s="179">
        <f t="shared" si="439"/>
        <v>2.5351288113070525E-2</v>
      </c>
    </row>
    <row r="441" spans="2:68" s="108" customFormat="1" x14ac:dyDescent="0.25">
      <c r="B441" s="107"/>
      <c r="E441" s="109" t="s">
        <v>5</v>
      </c>
      <c r="F441" s="110" t="s">
        <v>66</v>
      </c>
      <c r="G441" s="111" t="s">
        <v>55</v>
      </c>
      <c r="H441" s="70">
        <v>92404</v>
      </c>
      <c r="I441" s="70">
        <v>88982</v>
      </c>
      <c r="J441" s="70">
        <v>86523</v>
      </c>
      <c r="K441" s="70">
        <v>88866</v>
      </c>
      <c r="L441" s="70">
        <v>94731</v>
      </c>
      <c r="M441" s="112">
        <v>98494</v>
      </c>
      <c r="N441" s="112">
        <v>86099</v>
      </c>
      <c r="O441" s="112">
        <v>105878</v>
      </c>
      <c r="P441" s="112">
        <v>94995</v>
      </c>
      <c r="R441" s="111" t="s">
        <v>55</v>
      </c>
      <c r="S441" s="81">
        <v>4.2</v>
      </c>
      <c r="T441" s="81">
        <v>4.7</v>
      </c>
      <c r="U441" s="81">
        <v>4.5999999999999996</v>
      </c>
      <c r="V441" s="81">
        <v>4.5</v>
      </c>
      <c r="W441" s="81">
        <v>5.0999999999999996</v>
      </c>
      <c r="X441" s="81">
        <v>5.5</v>
      </c>
      <c r="Y441" s="81">
        <v>5.9</v>
      </c>
      <c r="Z441" s="81">
        <v>6</v>
      </c>
      <c r="AA441" s="81">
        <v>6.7</v>
      </c>
      <c r="AC441" s="111" t="s">
        <v>55</v>
      </c>
      <c r="AD441" s="70">
        <f t="shared" si="411"/>
        <v>7761.9359999999997</v>
      </c>
      <c r="AE441" s="70">
        <f t="shared" si="411"/>
        <v>8364.3080000000009</v>
      </c>
      <c r="AF441" s="70">
        <f t="shared" si="444"/>
        <v>7960.116</v>
      </c>
      <c r="AG441" s="70">
        <f t="shared" si="444"/>
        <v>7997.94</v>
      </c>
      <c r="AH441" s="70">
        <f t="shared" si="444"/>
        <v>9662.5619999999999</v>
      </c>
      <c r="AI441" s="70">
        <f t="shared" si="444"/>
        <v>10834.34</v>
      </c>
      <c r="AJ441" s="70">
        <f t="shared" si="444"/>
        <v>10159.682000000001</v>
      </c>
      <c r="AK441" s="70">
        <f t="shared" si="444"/>
        <v>12705.36</v>
      </c>
      <c r="AL441" s="70">
        <f t="shared" si="444"/>
        <v>12729.33</v>
      </c>
      <c r="AN441" s="111" t="s">
        <v>55</v>
      </c>
      <c r="AO441" s="113">
        <f t="shared" ref="AO441:AW441" si="450">H441/H439</f>
        <v>0.22670821168330921</v>
      </c>
      <c r="AP441" s="113">
        <f t="shared" si="450"/>
        <v>0.21975204978761237</v>
      </c>
      <c r="AQ441" s="113">
        <f t="shared" si="450"/>
        <v>0.21708466309387608</v>
      </c>
      <c r="AR441" s="113">
        <f t="shared" si="450"/>
        <v>0.22081362064167295</v>
      </c>
      <c r="AS441" s="113">
        <f t="shared" si="450"/>
        <v>0.22811356193411675</v>
      </c>
      <c r="AT441" s="113">
        <f t="shared" si="450"/>
        <v>0.23242544234317997</v>
      </c>
      <c r="AU441" s="113">
        <f t="shared" si="450"/>
        <v>0.19720022812277402</v>
      </c>
      <c r="AV441" s="113">
        <f t="shared" si="450"/>
        <v>0.2382434278179433</v>
      </c>
      <c r="AW441" s="113">
        <f t="shared" si="450"/>
        <v>0.20968948870597118</v>
      </c>
      <c r="AY441" s="111" t="s">
        <v>55</v>
      </c>
      <c r="AZ441" s="179">
        <f t="shared" si="441"/>
        <v>1.9043489781397974E-2</v>
      </c>
      <c r="BA441" s="179">
        <f t="shared" si="441"/>
        <v>2.0656692680035563E-2</v>
      </c>
      <c r="BB441" s="179">
        <f t="shared" si="441"/>
        <v>1.9971789004636597E-2</v>
      </c>
      <c r="BC441" s="179">
        <f t="shared" si="439"/>
        <v>1.9873225857750566E-2</v>
      </c>
      <c r="BD441" s="179">
        <f t="shared" si="439"/>
        <v>2.3267583317279909E-2</v>
      </c>
      <c r="BE441" s="179">
        <f t="shared" si="439"/>
        <v>2.5566798657749797E-2</v>
      </c>
      <c r="BF441" s="179">
        <f t="shared" si="439"/>
        <v>2.3269626918487333E-2</v>
      </c>
      <c r="BG441" s="179">
        <f t="shared" si="439"/>
        <v>2.8589211338153196E-2</v>
      </c>
      <c r="BH441" s="179">
        <f t="shared" si="439"/>
        <v>2.8098391486600139E-2</v>
      </c>
    </row>
    <row r="442" spans="2:68" s="108" customFormat="1" x14ac:dyDescent="0.25">
      <c r="B442" s="107"/>
      <c r="E442" s="109" t="s">
        <v>5</v>
      </c>
      <c r="F442" s="110" t="s">
        <v>66</v>
      </c>
      <c r="G442" s="111" t="s">
        <v>130</v>
      </c>
      <c r="H442" s="70">
        <v>52117</v>
      </c>
      <c r="I442" s="70">
        <v>56231</v>
      </c>
      <c r="J442" s="70">
        <v>53491</v>
      </c>
      <c r="K442" s="70">
        <v>47684</v>
      </c>
      <c r="L442" s="70">
        <v>49415</v>
      </c>
      <c r="M442" s="70">
        <v>52567</v>
      </c>
      <c r="N442" s="70">
        <v>49133</v>
      </c>
      <c r="O442" s="112">
        <v>57205</v>
      </c>
      <c r="P442" s="112">
        <v>56607</v>
      </c>
      <c r="R442" s="111" t="s">
        <v>130</v>
      </c>
      <c r="S442" s="220">
        <v>5.7</v>
      </c>
      <c r="T442" s="220">
        <v>6.1</v>
      </c>
      <c r="U442" s="220">
        <v>6.1</v>
      </c>
      <c r="V442" s="220">
        <v>6.3</v>
      </c>
      <c r="W442" s="220">
        <v>7.5</v>
      </c>
      <c r="X442" s="220">
        <v>8</v>
      </c>
      <c r="Y442" s="220">
        <v>8.1999999999999993</v>
      </c>
      <c r="Z442" s="220">
        <v>8.3000000000000007</v>
      </c>
      <c r="AA442" s="220">
        <v>8.5</v>
      </c>
      <c r="AC442" s="111" t="s">
        <v>130</v>
      </c>
      <c r="AD442" s="70">
        <f t="shared" si="411"/>
        <v>5941.3380000000006</v>
      </c>
      <c r="AE442" s="70">
        <f t="shared" si="411"/>
        <v>6860.1819999999998</v>
      </c>
      <c r="AF442" s="70">
        <f t="shared" si="444"/>
        <v>6525.9019999999991</v>
      </c>
      <c r="AG442" s="70">
        <f t="shared" si="444"/>
        <v>6008.1840000000002</v>
      </c>
      <c r="AH442" s="70">
        <f t="shared" si="444"/>
        <v>7412.25</v>
      </c>
      <c r="AI442" s="70">
        <f t="shared" si="444"/>
        <v>8410.7199999999993</v>
      </c>
      <c r="AJ442" s="70">
        <f t="shared" si="444"/>
        <v>8057.8119999999999</v>
      </c>
      <c r="AK442" s="70">
        <f t="shared" si="444"/>
        <v>9496.0300000000007</v>
      </c>
      <c r="AL442" s="70">
        <f t="shared" si="444"/>
        <v>9623.19</v>
      </c>
      <c r="AN442" s="111" t="s">
        <v>130</v>
      </c>
      <c r="AO442" s="113">
        <f t="shared" ref="AO442:AW442" si="451">H442/H439</f>
        <v>0.12786623813145562</v>
      </c>
      <c r="AP442" s="113">
        <f t="shared" si="451"/>
        <v>0.13886940630247951</v>
      </c>
      <c r="AQ442" s="113">
        <f t="shared" si="451"/>
        <v>0.13420796451295638</v>
      </c>
      <c r="AR442" s="113">
        <f t="shared" si="451"/>
        <v>0.11848487257981155</v>
      </c>
      <c r="AS442" s="113">
        <f t="shared" si="451"/>
        <v>0.11899200539395106</v>
      </c>
      <c r="AT442" s="113">
        <f t="shared" si="451"/>
        <v>0.12404723361477797</v>
      </c>
      <c r="AU442" s="113">
        <f t="shared" si="451"/>
        <v>0.11253369735253901</v>
      </c>
      <c r="AV442" s="113">
        <f t="shared" si="451"/>
        <v>0.12872093625045283</v>
      </c>
      <c r="AW442" s="113">
        <f t="shared" si="451"/>
        <v>0.12495281738174546</v>
      </c>
      <c r="AY442" s="111" t="s">
        <v>130</v>
      </c>
      <c r="AZ442" s="179">
        <f t="shared" si="441"/>
        <v>1.457675114698594E-2</v>
      </c>
      <c r="BA442" s="179">
        <f t="shared" si="441"/>
        <v>1.69420675689025E-2</v>
      </c>
      <c r="BB442" s="179">
        <f t="shared" si="441"/>
        <v>1.6373371670580679E-2</v>
      </c>
      <c r="BC442" s="179">
        <f t="shared" si="439"/>
        <v>1.4929093945056255E-2</v>
      </c>
      <c r="BD442" s="179">
        <f t="shared" si="439"/>
        <v>1.7848800809092659E-2</v>
      </c>
      <c r="BE442" s="179">
        <f t="shared" si="439"/>
        <v>1.9847557378364477E-2</v>
      </c>
      <c r="BF442" s="179">
        <f t="shared" si="439"/>
        <v>1.8455526365816398E-2</v>
      </c>
      <c r="BG442" s="179">
        <f t="shared" si="439"/>
        <v>2.1367675417575175E-2</v>
      </c>
      <c r="BH442" s="179">
        <f t="shared" si="439"/>
        <v>2.1241978954896726E-2</v>
      </c>
    </row>
    <row r="443" spans="2:68" s="108" customFormat="1" x14ac:dyDescent="0.25">
      <c r="B443" s="107"/>
      <c r="E443" s="109" t="s">
        <v>5</v>
      </c>
      <c r="F443" s="110" t="s">
        <v>66</v>
      </c>
      <c r="G443" s="111" t="s">
        <v>131</v>
      </c>
      <c r="H443" s="112">
        <v>151544</v>
      </c>
      <c r="I443" s="112">
        <v>164330</v>
      </c>
      <c r="J443" s="112">
        <v>165873</v>
      </c>
      <c r="K443" s="112">
        <v>170073</v>
      </c>
      <c r="L443" s="112">
        <v>185821</v>
      </c>
      <c r="M443" s="112">
        <v>179523</v>
      </c>
      <c r="N443" s="112">
        <v>211430</v>
      </c>
      <c r="O443" s="112">
        <v>205400</v>
      </c>
      <c r="P443" s="112">
        <v>220547</v>
      </c>
      <c r="R443" s="111" t="s">
        <v>131</v>
      </c>
      <c r="S443" s="220">
        <v>3.1</v>
      </c>
      <c r="T443" s="220">
        <v>3.5</v>
      </c>
      <c r="U443" s="220">
        <v>2.6</v>
      </c>
      <c r="V443" s="220">
        <v>2.8</v>
      </c>
      <c r="W443" s="220">
        <v>2.9</v>
      </c>
      <c r="X443" s="220">
        <v>3.6</v>
      </c>
      <c r="Y443" s="220">
        <v>2.7</v>
      </c>
      <c r="Z443" s="220">
        <v>4</v>
      </c>
      <c r="AA443" s="220">
        <v>4.0999999999999996</v>
      </c>
      <c r="AC443" s="111" t="s">
        <v>131</v>
      </c>
      <c r="AD443" s="112">
        <f t="shared" si="411"/>
        <v>9395.728000000001</v>
      </c>
      <c r="AE443" s="112">
        <f t="shared" si="411"/>
        <v>11503.1</v>
      </c>
      <c r="AF443" s="112">
        <f t="shared" si="444"/>
        <v>8625.3960000000006</v>
      </c>
      <c r="AG443" s="112">
        <f t="shared" si="444"/>
        <v>9524.0879999999997</v>
      </c>
      <c r="AH443" s="112">
        <f t="shared" si="444"/>
        <v>10777.618</v>
      </c>
      <c r="AI443" s="112">
        <f t="shared" si="444"/>
        <v>12925.656000000001</v>
      </c>
      <c r="AJ443" s="112">
        <f t="shared" si="444"/>
        <v>11417.22</v>
      </c>
      <c r="AK443" s="112">
        <f t="shared" si="444"/>
        <v>16432</v>
      </c>
      <c r="AL443" s="112">
        <f t="shared" si="444"/>
        <v>18084.853999999999</v>
      </c>
      <c r="AN443" s="111" t="s">
        <v>131</v>
      </c>
      <c r="AO443" s="113">
        <f t="shared" ref="AO443:AW443" si="452">H443/H439</f>
        <v>0.37180500012267231</v>
      </c>
      <c r="AP443" s="113">
        <f t="shared" si="452"/>
        <v>0.40583325101254569</v>
      </c>
      <c r="AQ443" s="113">
        <f t="shared" si="452"/>
        <v>0.41617239718191124</v>
      </c>
      <c r="AR443" s="113">
        <f t="shared" si="452"/>
        <v>0.42259621118753232</v>
      </c>
      <c r="AS443" s="113">
        <f t="shared" si="452"/>
        <v>0.44745954536698129</v>
      </c>
      <c r="AT443" s="113">
        <f t="shared" si="452"/>
        <v>0.42363710160796286</v>
      </c>
      <c r="AU443" s="113">
        <f t="shared" si="452"/>
        <v>0.48425700916384756</v>
      </c>
      <c r="AV443" s="113">
        <f t="shared" si="452"/>
        <v>0.46218477940465019</v>
      </c>
      <c r="AW443" s="113">
        <f t="shared" si="452"/>
        <v>0.48682970330686692</v>
      </c>
      <c r="AY443" s="111" t="s">
        <v>131</v>
      </c>
      <c r="AZ443" s="179">
        <f t="shared" si="441"/>
        <v>2.3051910007605682E-2</v>
      </c>
      <c r="BA443" s="179">
        <f t="shared" si="441"/>
        <v>2.8408327570878199E-2</v>
      </c>
      <c r="BB443" s="179">
        <f t="shared" si="441"/>
        <v>2.1640964653459386E-2</v>
      </c>
      <c r="BC443" s="179">
        <f t="shared" si="439"/>
        <v>2.3665387826501808E-2</v>
      </c>
      <c r="BD443" s="179">
        <f t="shared" si="439"/>
        <v>2.5952653631284912E-2</v>
      </c>
      <c r="BE443" s="179">
        <f t="shared" si="439"/>
        <v>3.0501871315773327E-2</v>
      </c>
      <c r="BF443" s="179">
        <f t="shared" si="439"/>
        <v>2.6149878494847768E-2</v>
      </c>
      <c r="BG443" s="179">
        <f t="shared" si="439"/>
        <v>3.6974782352372018E-2</v>
      </c>
      <c r="BH443" s="179">
        <f t="shared" si="439"/>
        <v>3.9920035671163083E-2</v>
      </c>
    </row>
    <row r="444" spans="2:68" x14ac:dyDescent="0.3">
      <c r="H444" s="122" t="s">
        <v>122</v>
      </c>
      <c r="I444" s="122">
        <v>2003</v>
      </c>
      <c r="J444" s="122">
        <v>2005</v>
      </c>
      <c r="K444" s="122" t="s">
        <v>123</v>
      </c>
      <c r="L444" s="122" t="s">
        <v>124</v>
      </c>
      <c r="M444" s="122" t="s">
        <v>125</v>
      </c>
      <c r="N444" s="122" t="s">
        <v>126</v>
      </c>
      <c r="O444" s="122" t="s">
        <v>127</v>
      </c>
      <c r="P444" s="122" t="s">
        <v>128</v>
      </c>
      <c r="R444" s="111"/>
      <c r="S444" s="120" t="s">
        <v>122</v>
      </c>
      <c r="T444" s="121">
        <v>2003</v>
      </c>
      <c r="U444" s="121">
        <v>2005</v>
      </c>
      <c r="V444" s="122" t="s">
        <v>123</v>
      </c>
      <c r="W444" s="122" t="s">
        <v>124</v>
      </c>
      <c r="X444" s="122" t="s">
        <v>125</v>
      </c>
      <c r="Y444" s="122" t="s">
        <v>126</v>
      </c>
      <c r="Z444" s="122" t="s">
        <v>127</v>
      </c>
      <c r="AA444" s="122" t="s">
        <v>128</v>
      </c>
      <c r="AC444" s="197" t="s">
        <v>8</v>
      </c>
      <c r="AD444" s="120" t="s">
        <v>122</v>
      </c>
      <c r="AE444" s="121">
        <v>2003</v>
      </c>
      <c r="AF444" s="121">
        <v>2005</v>
      </c>
      <c r="AG444" s="122" t="s">
        <v>123</v>
      </c>
      <c r="AH444" s="122" t="s">
        <v>124</v>
      </c>
      <c r="AI444" s="122" t="s">
        <v>125</v>
      </c>
      <c r="AJ444" s="122" t="s">
        <v>126</v>
      </c>
      <c r="AK444" s="122" t="s">
        <v>127</v>
      </c>
      <c r="AL444" s="122" t="s">
        <v>128</v>
      </c>
      <c r="AN444" s="197" t="s">
        <v>8</v>
      </c>
      <c r="AO444" s="120" t="s">
        <v>122</v>
      </c>
      <c r="AP444" s="121">
        <v>2003</v>
      </c>
      <c r="AQ444" s="121">
        <v>2005</v>
      </c>
      <c r="AR444" s="122" t="s">
        <v>123</v>
      </c>
      <c r="AS444" s="122" t="s">
        <v>124</v>
      </c>
      <c r="AT444" s="122" t="s">
        <v>125</v>
      </c>
      <c r="AU444" s="122" t="s">
        <v>126</v>
      </c>
      <c r="AV444" s="122" t="s">
        <v>127</v>
      </c>
      <c r="AW444" s="122" t="s">
        <v>128</v>
      </c>
      <c r="AY444" s="197" t="s">
        <v>8</v>
      </c>
      <c r="AZ444" s="120" t="s">
        <v>122</v>
      </c>
      <c r="BA444" s="121">
        <v>2003</v>
      </c>
      <c r="BB444" s="121">
        <v>2005</v>
      </c>
      <c r="BC444" s="122" t="s">
        <v>123</v>
      </c>
      <c r="BD444" s="122" t="s">
        <v>124</v>
      </c>
      <c r="BE444" s="122" t="s">
        <v>125</v>
      </c>
      <c r="BF444" s="122" t="s">
        <v>126</v>
      </c>
      <c r="BG444" s="122" t="s">
        <v>127</v>
      </c>
      <c r="BH444" s="122" t="s">
        <v>128</v>
      </c>
    </row>
    <row r="445" spans="2:68" s="87" customFormat="1" x14ac:dyDescent="0.25">
      <c r="B445" s="84"/>
      <c r="C445" s="85"/>
      <c r="D445" s="85"/>
      <c r="E445" s="109" t="s">
        <v>0</v>
      </c>
      <c r="F445" s="110" t="s">
        <v>75</v>
      </c>
      <c r="G445" s="195" t="s">
        <v>7</v>
      </c>
      <c r="H445" s="69">
        <v>345424</v>
      </c>
      <c r="I445" s="69">
        <v>354987</v>
      </c>
      <c r="J445" s="69">
        <v>358917</v>
      </c>
      <c r="K445" s="69">
        <v>364415</v>
      </c>
      <c r="L445" s="69">
        <v>364282</v>
      </c>
      <c r="M445" s="69">
        <v>359672</v>
      </c>
      <c r="N445" s="69">
        <v>366240</v>
      </c>
      <c r="O445" s="69">
        <v>364519</v>
      </c>
      <c r="P445" s="69">
        <v>382786</v>
      </c>
      <c r="R445" s="195" t="s">
        <v>7</v>
      </c>
      <c r="S445" s="226">
        <v>1.2</v>
      </c>
      <c r="T445" s="226">
        <v>1.2</v>
      </c>
      <c r="U445" s="226">
        <v>1.2</v>
      </c>
      <c r="V445" s="226">
        <v>1.2</v>
      </c>
      <c r="W445" s="226">
        <v>1.3</v>
      </c>
      <c r="X445" s="226">
        <v>1.6</v>
      </c>
      <c r="Y445" s="226">
        <v>1.5</v>
      </c>
      <c r="Z445" s="226">
        <v>1.3</v>
      </c>
      <c r="AA445" s="226">
        <v>1.5</v>
      </c>
      <c r="AC445" s="195" t="s">
        <v>7</v>
      </c>
      <c r="AD445" s="69">
        <f>2*(H445*S445/100)</f>
        <v>8290.1759999999995</v>
      </c>
      <c r="AE445" s="69">
        <f t="shared" ref="AE445:AL477" si="453">2*(I445*T445/100)</f>
        <v>8519.6880000000001</v>
      </c>
      <c r="AF445" s="69">
        <f t="shared" si="453"/>
        <v>8614.0079999999998</v>
      </c>
      <c r="AG445" s="69">
        <f t="shared" si="453"/>
        <v>8745.9599999999991</v>
      </c>
      <c r="AH445" s="69">
        <f t="shared" si="453"/>
        <v>9471.3320000000003</v>
      </c>
      <c r="AI445" s="69">
        <f t="shared" si="453"/>
        <v>11509.504000000001</v>
      </c>
      <c r="AJ445" s="69">
        <f t="shared" si="453"/>
        <v>10987.2</v>
      </c>
      <c r="AK445" s="69">
        <f>2*(O445*Z445/100)</f>
        <v>9477.4940000000006</v>
      </c>
      <c r="AL445" s="69">
        <f>2*(P445*AA445/100)</f>
        <v>11483.58</v>
      </c>
      <c r="AN445" s="195" t="s">
        <v>7</v>
      </c>
      <c r="AO445" s="98">
        <f t="shared" ref="AO445:AW445" si="454">H445/H445</f>
        <v>1</v>
      </c>
      <c r="AP445" s="98">
        <f t="shared" si="454"/>
        <v>1</v>
      </c>
      <c r="AQ445" s="98">
        <f t="shared" si="454"/>
        <v>1</v>
      </c>
      <c r="AR445" s="98">
        <f t="shared" si="454"/>
        <v>1</v>
      </c>
      <c r="AS445" s="98">
        <f t="shared" si="454"/>
        <v>1</v>
      </c>
      <c r="AT445" s="98">
        <f t="shared" si="454"/>
        <v>1</v>
      </c>
      <c r="AU445" s="98">
        <f t="shared" si="454"/>
        <v>1</v>
      </c>
      <c r="AV445" s="98">
        <f t="shared" si="454"/>
        <v>1</v>
      </c>
      <c r="AW445" s="98">
        <f t="shared" si="454"/>
        <v>1</v>
      </c>
      <c r="AX445" s="191"/>
      <c r="AY445" s="195" t="s">
        <v>7</v>
      </c>
      <c r="AZ445" s="178">
        <f t="shared" ref="AZ445:BH473" si="455">2*(S445*AO445/100)</f>
        <v>2.4E-2</v>
      </c>
      <c r="BA445" s="178">
        <f t="shared" si="455"/>
        <v>2.4E-2</v>
      </c>
      <c r="BB445" s="178">
        <f t="shared" si="455"/>
        <v>2.4E-2</v>
      </c>
      <c r="BC445" s="178">
        <f t="shared" si="455"/>
        <v>2.4E-2</v>
      </c>
      <c r="BD445" s="178">
        <f t="shared" si="455"/>
        <v>2.6000000000000002E-2</v>
      </c>
      <c r="BE445" s="178">
        <f t="shared" si="455"/>
        <v>3.2000000000000001E-2</v>
      </c>
      <c r="BF445" s="178">
        <f t="shared" si="455"/>
        <v>0.03</v>
      </c>
      <c r="BG445" s="178">
        <f t="shared" si="455"/>
        <v>2.6000000000000002E-2</v>
      </c>
      <c r="BH445" s="178">
        <f t="shared" si="455"/>
        <v>0.03</v>
      </c>
      <c r="BI445" s="191"/>
      <c r="BJ445" s="191"/>
      <c r="BK445" s="191"/>
      <c r="BL445" s="191"/>
      <c r="BM445" s="191"/>
      <c r="BN445" s="191"/>
      <c r="BO445" s="191"/>
      <c r="BP445" s="191"/>
    </row>
    <row r="446" spans="2:68" s="108" customFormat="1" x14ac:dyDescent="0.25">
      <c r="B446" s="107"/>
      <c r="E446" s="109" t="s">
        <v>0</v>
      </c>
      <c r="F446" s="110" t="s">
        <v>75</v>
      </c>
      <c r="G446" s="111" t="s">
        <v>54</v>
      </c>
      <c r="H446" s="112">
        <v>62485</v>
      </c>
      <c r="I446" s="112">
        <v>49538</v>
      </c>
      <c r="J446" s="112">
        <v>39200</v>
      </c>
      <c r="K446" s="112">
        <v>41740</v>
      </c>
      <c r="L446" s="112">
        <v>48713</v>
      </c>
      <c r="M446" s="112">
        <v>36226</v>
      </c>
      <c r="N446" s="112">
        <v>36593</v>
      </c>
      <c r="O446" s="112">
        <v>28351</v>
      </c>
      <c r="P446" s="112">
        <v>22705</v>
      </c>
      <c r="R446" s="111" t="s">
        <v>54</v>
      </c>
      <c r="S446" s="220">
        <v>7.6</v>
      </c>
      <c r="T446" s="220">
        <v>10.3</v>
      </c>
      <c r="U446" s="220">
        <v>11.3</v>
      </c>
      <c r="V446" s="220">
        <v>11.3</v>
      </c>
      <c r="W446" s="220">
        <v>11.4</v>
      </c>
      <c r="X446" s="220">
        <v>15.4</v>
      </c>
      <c r="Y446" s="220">
        <v>15.4</v>
      </c>
      <c r="Z446" s="220">
        <v>15.4</v>
      </c>
      <c r="AA446" s="220">
        <v>16.7</v>
      </c>
      <c r="AC446" s="111" t="s">
        <v>54</v>
      </c>
      <c r="AD446" s="112">
        <f>2*(H446*S446/100)</f>
        <v>9497.7199999999993</v>
      </c>
      <c r="AE446" s="112">
        <f t="shared" si="453"/>
        <v>10204.828000000001</v>
      </c>
      <c r="AF446" s="112">
        <f t="shared" si="453"/>
        <v>8859.2000000000007</v>
      </c>
      <c r="AG446" s="112">
        <f t="shared" si="453"/>
        <v>9433.2400000000016</v>
      </c>
      <c r="AH446" s="112">
        <f t="shared" si="453"/>
        <v>11106.564000000002</v>
      </c>
      <c r="AI446" s="112">
        <f t="shared" si="453"/>
        <v>11157.608</v>
      </c>
      <c r="AJ446" s="112">
        <f t="shared" si="453"/>
        <v>11270.644000000002</v>
      </c>
      <c r="AK446" s="112">
        <f t="shared" si="453"/>
        <v>8732.1080000000002</v>
      </c>
      <c r="AL446" s="112">
        <f t="shared" si="453"/>
        <v>7583.47</v>
      </c>
      <c r="AN446" s="111" t="s">
        <v>54</v>
      </c>
      <c r="AO446" s="113">
        <f t="shared" ref="AO446:AW446" si="456">H446/H445</f>
        <v>0.18089362638380657</v>
      </c>
      <c r="AP446" s="113">
        <f t="shared" si="456"/>
        <v>0.13954877220855974</v>
      </c>
      <c r="AQ446" s="113">
        <f t="shared" si="456"/>
        <v>0.10921745138848257</v>
      </c>
      <c r="AR446" s="113">
        <f t="shared" si="456"/>
        <v>0.11453974177791804</v>
      </c>
      <c r="AS446" s="113">
        <f t="shared" si="456"/>
        <v>0.13372332423781577</v>
      </c>
      <c r="AT446" s="113">
        <f t="shared" si="456"/>
        <v>0.10071954447385395</v>
      </c>
      <c r="AU446" s="113">
        <f t="shared" si="456"/>
        <v>9.9915356050677154E-2</v>
      </c>
      <c r="AV446" s="113">
        <f t="shared" si="456"/>
        <v>7.7776467070303612E-2</v>
      </c>
      <c r="AW446" s="113">
        <f t="shared" si="456"/>
        <v>5.9315126467530163E-2</v>
      </c>
      <c r="AY446" s="111" t="s">
        <v>54</v>
      </c>
      <c r="AZ446" s="179">
        <f t="shared" si="455"/>
        <v>2.7495831210338596E-2</v>
      </c>
      <c r="BA446" s="179">
        <f t="shared" si="455"/>
        <v>2.8747047074963308E-2</v>
      </c>
      <c r="BB446" s="179">
        <f t="shared" si="455"/>
        <v>2.4683144013797061E-2</v>
      </c>
      <c r="BC446" s="179">
        <f t="shared" si="455"/>
        <v>2.5885981641809476E-2</v>
      </c>
      <c r="BD446" s="179">
        <f t="shared" si="455"/>
        <v>3.0488917926221996E-2</v>
      </c>
      <c r="BE446" s="179">
        <f t="shared" si="455"/>
        <v>3.1021619697947016E-2</v>
      </c>
      <c r="BF446" s="179">
        <f t="shared" si="455"/>
        <v>3.0773929663608562E-2</v>
      </c>
      <c r="BG446" s="179">
        <f t="shared" si="455"/>
        <v>2.3955151857653512E-2</v>
      </c>
      <c r="BH446" s="179">
        <f t="shared" si="455"/>
        <v>1.9811252240155074E-2</v>
      </c>
    </row>
    <row r="447" spans="2:68" s="108" customFormat="1" x14ac:dyDescent="0.25">
      <c r="B447" s="107"/>
      <c r="E447" s="109" t="s">
        <v>0</v>
      </c>
      <c r="F447" s="110" t="s">
        <v>75</v>
      </c>
      <c r="G447" s="111" t="s">
        <v>55</v>
      </c>
      <c r="H447" s="70">
        <v>11693</v>
      </c>
      <c r="I447" s="70">
        <v>13106</v>
      </c>
      <c r="J447" s="70">
        <v>6861</v>
      </c>
      <c r="K447" s="70">
        <v>9195</v>
      </c>
      <c r="L447" s="70">
        <v>9169</v>
      </c>
      <c r="M447" s="112" t="s">
        <v>129</v>
      </c>
      <c r="N447" s="112" t="s">
        <v>129</v>
      </c>
      <c r="O447" s="112" t="s">
        <v>129</v>
      </c>
      <c r="P447" s="112" t="s">
        <v>129</v>
      </c>
      <c r="R447" s="111" t="s">
        <v>55</v>
      </c>
      <c r="S447" s="81">
        <v>19.100000000000001</v>
      </c>
      <c r="T447" s="81">
        <v>20</v>
      </c>
      <c r="U447" s="81">
        <v>29.4</v>
      </c>
      <c r="V447" s="81">
        <v>25.1</v>
      </c>
      <c r="W447" s="81">
        <v>28.2</v>
      </c>
      <c r="X447" s="81" t="s">
        <v>57</v>
      </c>
      <c r="Y447" s="81" t="s">
        <v>57</v>
      </c>
      <c r="Z447" s="81" t="s">
        <v>57</v>
      </c>
      <c r="AA447" s="81" t="s">
        <v>57</v>
      </c>
      <c r="AC447" s="111" t="s">
        <v>55</v>
      </c>
      <c r="AD447" s="70">
        <f t="shared" ref="AD447:AE484" si="457">2*(H447*S447/100)</f>
        <v>4466.7260000000006</v>
      </c>
      <c r="AE447" s="70">
        <f t="shared" si="453"/>
        <v>5242.3999999999996</v>
      </c>
      <c r="AF447" s="70">
        <f t="shared" si="453"/>
        <v>4034.268</v>
      </c>
      <c r="AG447" s="70">
        <f t="shared" si="453"/>
        <v>4615.8900000000003</v>
      </c>
      <c r="AH447" s="70">
        <f t="shared" si="453"/>
        <v>5171.3159999999998</v>
      </c>
      <c r="AI447" s="70" t="e">
        <f t="shared" si="453"/>
        <v>#VALUE!</v>
      </c>
      <c r="AJ447" s="70" t="e">
        <f t="shared" si="453"/>
        <v>#VALUE!</v>
      </c>
      <c r="AK447" s="70" t="e">
        <f t="shared" si="453"/>
        <v>#VALUE!</v>
      </c>
      <c r="AL447" s="70" t="e">
        <f t="shared" si="453"/>
        <v>#VALUE!</v>
      </c>
      <c r="AN447" s="111" t="s">
        <v>55</v>
      </c>
      <c r="AO447" s="113">
        <f t="shared" ref="AO447:AW447" si="458">H447/H445</f>
        <v>3.3851151049145399E-2</v>
      </c>
      <c r="AP447" s="113">
        <f t="shared" si="458"/>
        <v>3.6919661846771853E-2</v>
      </c>
      <c r="AQ447" s="113">
        <f t="shared" si="458"/>
        <v>1.9115840152458645E-2</v>
      </c>
      <c r="AR447" s="113">
        <f t="shared" si="458"/>
        <v>2.5232221505700918E-2</v>
      </c>
      <c r="AS447" s="113">
        <f t="shared" si="458"/>
        <v>2.5170060557480195E-2</v>
      </c>
      <c r="AT447" s="113" t="e">
        <f t="shared" si="458"/>
        <v>#VALUE!</v>
      </c>
      <c r="AU447" s="113" t="e">
        <f t="shared" si="458"/>
        <v>#VALUE!</v>
      </c>
      <c r="AV447" s="113" t="e">
        <f t="shared" si="458"/>
        <v>#VALUE!</v>
      </c>
      <c r="AW447" s="113" t="e">
        <f t="shared" si="458"/>
        <v>#VALUE!</v>
      </c>
      <c r="AY447" s="111" t="s">
        <v>55</v>
      </c>
      <c r="AZ447" s="179">
        <f t="shared" si="455"/>
        <v>1.2931139700773545E-2</v>
      </c>
      <c r="BA447" s="179">
        <f t="shared" si="455"/>
        <v>1.4767864738708742E-2</v>
      </c>
      <c r="BB447" s="179">
        <f t="shared" si="455"/>
        <v>1.1240114009645683E-2</v>
      </c>
      <c r="BC447" s="179">
        <f t="shared" si="455"/>
        <v>1.2666575195861863E-2</v>
      </c>
      <c r="BD447" s="179">
        <f t="shared" si="455"/>
        <v>1.4195914154418829E-2</v>
      </c>
      <c r="BE447" s="179" t="e">
        <f t="shared" si="455"/>
        <v>#VALUE!</v>
      </c>
      <c r="BF447" s="179" t="e">
        <f t="shared" si="455"/>
        <v>#VALUE!</v>
      </c>
      <c r="BG447" s="179" t="e">
        <f t="shared" si="455"/>
        <v>#VALUE!</v>
      </c>
      <c r="BH447" s="179" t="e">
        <f t="shared" si="455"/>
        <v>#VALUE!</v>
      </c>
    </row>
    <row r="448" spans="2:68" s="108" customFormat="1" x14ac:dyDescent="0.25">
      <c r="B448" s="107"/>
      <c r="E448" s="109" t="s">
        <v>0</v>
      </c>
      <c r="F448" s="110" t="s">
        <v>75</v>
      </c>
      <c r="G448" s="111" t="s">
        <v>130</v>
      </c>
      <c r="H448" s="70">
        <v>37282</v>
      </c>
      <c r="I448" s="70">
        <v>36917</v>
      </c>
      <c r="J448" s="70">
        <v>32334</v>
      </c>
      <c r="K448" s="70">
        <v>24377</v>
      </c>
      <c r="L448" s="70">
        <v>27015</v>
      </c>
      <c r="M448" s="70">
        <v>25276</v>
      </c>
      <c r="N448" s="70">
        <v>23406</v>
      </c>
      <c r="O448" s="112">
        <v>27076</v>
      </c>
      <c r="P448" s="112">
        <v>11877</v>
      </c>
      <c r="R448" s="111" t="s">
        <v>130</v>
      </c>
      <c r="S448" s="220">
        <v>10.3</v>
      </c>
      <c r="T448" s="220">
        <v>11.7</v>
      </c>
      <c r="U448" s="220">
        <v>12.9</v>
      </c>
      <c r="V448" s="220">
        <v>15</v>
      </c>
      <c r="W448" s="220">
        <v>16.600000000000001</v>
      </c>
      <c r="X448" s="220">
        <v>19.100000000000001</v>
      </c>
      <c r="Y448" s="220">
        <v>19.5</v>
      </c>
      <c r="Z448" s="220">
        <v>15.4</v>
      </c>
      <c r="AA448" s="220">
        <v>24.1</v>
      </c>
      <c r="AC448" s="111" t="s">
        <v>130</v>
      </c>
      <c r="AD448" s="70">
        <f t="shared" si="457"/>
        <v>7680.0920000000006</v>
      </c>
      <c r="AE448" s="70">
        <f t="shared" si="453"/>
        <v>8638.5779999999995</v>
      </c>
      <c r="AF448" s="70">
        <f t="shared" si="453"/>
        <v>8342.1720000000005</v>
      </c>
      <c r="AG448" s="70">
        <f t="shared" si="453"/>
        <v>7313.1</v>
      </c>
      <c r="AH448" s="70">
        <f t="shared" si="453"/>
        <v>8968.9800000000014</v>
      </c>
      <c r="AI448" s="70">
        <f t="shared" si="453"/>
        <v>9655.4320000000007</v>
      </c>
      <c r="AJ448" s="70">
        <f t="shared" si="453"/>
        <v>9128.34</v>
      </c>
      <c r="AK448" s="70">
        <f t="shared" si="453"/>
        <v>8339.4080000000013</v>
      </c>
      <c r="AL448" s="70">
        <f t="shared" si="453"/>
        <v>5724.7139999999999</v>
      </c>
      <c r="AN448" s="111" t="s">
        <v>130</v>
      </c>
      <c r="AO448" s="113">
        <f t="shared" ref="AO448:AW448" si="459">H448/H445</f>
        <v>0.10793112233081661</v>
      </c>
      <c r="AP448" s="113">
        <f t="shared" si="459"/>
        <v>0.10399535757647463</v>
      </c>
      <c r="AQ448" s="113">
        <f t="shared" si="459"/>
        <v>9.0087680438652951E-2</v>
      </c>
      <c r="AR448" s="113">
        <f t="shared" si="459"/>
        <v>6.6893514262585232E-2</v>
      </c>
      <c r="AS448" s="113">
        <f t="shared" si="459"/>
        <v>7.4159579666302475E-2</v>
      </c>
      <c r="AT448" s="113">
        <f t="shared" si="459"/>
        <v>7.027513957160969E-2</v>
      </c>
      <c r="AU448" s="113">
        <f t="shared" si="459"/>
        <v>6.3908912188728698E-2</v>
      </c>
      <c r="AV448" s="113">
        <f t="shared" si="459"/>
        <v>7.4278707008413825E-2</v>
      </c>
      <c r="AW448" s="113">
        <f t="shared" si="459"/>
        <v>3.1027780535338282E-2</v>
      </c>
      <c r="AY448" s="111" t="s">
        <v>130</v>
      </c>
      <c r="AZ448" s="179">
        <f t="shared" si="455"/>
        <v>2.2233811200148224E-2</v>
      </c>
      <c r="BA448" s="179">
        <f t="shared" si="455"/>
        <v>2.4334913672895059E-2</v>
      </c>
      <c r="BB448" s="179">
        <f t="shared" si="455"/>
        <v>2.3242621553172461E-2</v>
      </c>
      <c r="BC448" s="179">
        <f t="shared" si="455"/>
        <v>2.006805427877557E-2</v>
      </c>
      <c r="BD448" s="179">
        <f t="shared" si="455"/>
        <v>2.4620980449212425E-2</v>
      </c>
      <c r="BE448" s="179">
        <f t="shared" si="455"/>
        <v>2.6845103316354906E-2</v>
      </c>
      <c r="BF448" s="179">
        <f t="shared" si="455"/>
        <v>2.4924475753604191E-2</v>
      </c>
      <c r="BG448" s="179">
        <f t="shared" si="455"/>
        <v>2.2877841758591456E-2</v>
      </c>
      <c r="BH448" s="179">
        <f t="shared" si="455"/>
        <v>1.4955390218033054E-2</v>
      </c>
    </row>
    <row r="449" spans="2:68" s="108" customFormat="1" x14ac:dyDescent="0.25">
      <c r="B449" s="107"/>
      <c r="E449" s="109" t="s">
        <v>0</v>
      </c>
      <c r="F449" s="110" t="s">
        <v>75</v>
      </c>
      <c r="G449" s="111" t="s">
        <v>131</v>
      </c>
      <c r="H449" s="112">
        <v>233965</v>
      </c>
      <c r="I449" s="112">
        <v>255426</v>
      </c>
      <c r="J449" s="112">
        <v>280522</v>
      </c>
      <c r="K449" s="112">
        <v>289103</v>
      </c>
      <c r="L449" s="112">
        <v>279385</v>
      </c>
      <c r="M449" s="112">
        <v>292417</v>
      </c>
      <c r="N449" s="112">
        <v>301977</v>
      </c>
      <c r="O449" s="112">
        <v>306485</v>
      </c>
      <c r="P449" s="112">
        <v>345714</v>
      </c>
      <c r="R449" s="111" t="s">
        <v>131</v>
      </c>
      <c r="S449" s="220">
        <v>3.2</v>
      </c>
      <c r="T449" s="220">
        <v>2.5</v>
      </c>
      <c r="U449" s="220">
        <v>2.8</v>
      </c>
      <c r="V449" s="220">
        <v>2.6</v>
      </c>
      <c r="W449" s="220">
        <v>3</v>
      </c>
      <c r="X449" s="220">
        <v>3.3</v>
      </c>
      <c r="Y449" s="220">
        <v>3</v>
      </c>
      <c r="Z449" s="220">
        <v>2.5</v>
      </c>
      <c r="AA449" s="220">
        <v>1.5</v>
      </c>
      <c r="AC449" s="111" t="s">
        <v>131</v>
      </c>
      <c r="AD449" s="112">
        <f t="shared" si="457"/>
        <v>14973.76</v>
      </c>
      <c r="AE449" s="112">
        <f t="shared" si="453"/>
        <v>12771.3</v>
      </c>
      <c r="AF449" s="112">
        <f t="shared" si="453"/>
        <v>15709.232</v>
      </c>
      <c r="AG449" s="112">
        <f t="shared" si="453"/>
        <v>15033.356000000002</v>
      </c>
      <c r="AH449" s="112">
        <f t="shared" si="453"/>
        <v>16763.099999999999</v>
      </c>
      <c r="AI449" s="112">
        <f t="shared" si="453"/>
        <v>19299.522000000001</v>
      </c>
      <c r="AJ449" s="112">
        <f t="shared" si="453"/>
        <v>18118.62</v>
      </c>
      <c r="AK449" s="112">
        <f t="shared" si="453"/>
        <v>15324.25</v>
      </c>
      <c r="AL449" s="112">
        <f t="shared" si="453"/>
        <v>10371.42</v>
      </c>
      <c r="AN449" s="111" t="s">
        <v>131</v>
      </c>
      <c r="AO449" s="113">
        <f t="shared" ref="AO449:AW449" si="460">H449/H445</f>
        <v>0.67732699522905182</v>
      </c>
      <c r="AP449" s="113">
        <f t="shared" si="460"/>
        <v>0.71953620836819376</v>
      </c>
      <c r="AQ449" s="113">
        <f t="shared" si="460"/>
        <v>0.7815790280204058</v>
      </c>
      <c r="AR449" s="113">
        <f t="shared" si="460"/>
        <v>0.79333452245379577</v>
      </c>
      <c r="AS449" s="113">
        <f t="shared" si="460"/>
        <v>0.7669470355384016</v>
      </c>
      <c r="AT449" s="113">
        <f t="shared" si="460"/>
        <v>0.81301018705932071</v>
      </c>
      <c r="AU449" s="113">
        <f t="shared" si="460"/>
        <v>0.82453309305373523</v>
      </c>
      <c r="AV449" s="113">
        <f t="shared" si="460"/>
        <v>0.84079293534767729</v>
      </c>
      <c r="AW449" s="113">
        <f t="shared" si="460"/>
        <v>0.9031521529000538</v>
      </c>
      <c r="AY449" s="111" t="s">
        <v>131</v>
      </c>
      <c r="AZ449" s="179">
        <f t="shared" si="455"/>
        <v>4.3348927694659319E-2</v>
      </c>
      <c r="BA449" s="179">
        <f t="shared" si="455"/>
        <v>3.5976810418409687E-2</v>
      </c>
      <c r="BB449" s="179">
        <f t="shared" si="455"/>
        <v>4.3768425569142719E-2</v>
      </c>
      <c r="BC449" s="179">
        <f t="shared" si="455"/>
        <v>4.1253395167597386E-2</v>
      </c>
      <c r="BD449" s="179">
        <f t="shared" si="455"/>
        <v>4.6016822132304097E-2</v>
      </c>
      <c r="BE449" s="179">
        <f t="shared" si="455"/>
        <v>5.3658672345915169E-2</v>
      </c>
      <c r="BF449" s="179">
        <f t="shared" si="455"/>
        <v>4.9471985583224118E-2</v>
      </c>
      <c r="BG449" s="179">
        <f t="shared" si="455"/>
        <v>4.2039646767383865E-2</v>
      </c>
      <c r="BH449" s="179">
        <f t="shared" si="455"/>
        <v>2.7094564587001612E-2</v>
      </c>
    </row>
    <row r="450" spans="2:68" s="87" customFormat="1" x14ac:dyDescent="0.25">
      <c r="B450" s="84"/>
      <c r="C450" s="85"/>
      <c r="D450" s="85"/>
      <c r="E450" s="109" t="s">
        <v>1</v>
      </c>
      <c r="F450" s="110" t="s">
        <v>75</v>
      </c>
      <c r="G450" s="195" t="s">
        <v>7</v>
      </c>
      <c r="H450" s="69">
        <v>445432</v>
      </c>
      <c r="I450" s="69">
        <v>470481</v>
      </c>
      <c r="J450" s="69">
        <v>488750</v>
      </c>
      <c r="K450" s="69">
        <v>547440</v>
      </c>
      <c r="L450" s="69">
        <v>577522</v>
      </c>
      <c r="M450" s="69">
        <v>589702</v>
      </c>
      <c r="N450" s="69">
        <v>613935</v>
      </c>
      <c r="O450" s="69">
        <v>580167</v>
      </c>
      <c r="P450" s="69">
        <v>583708</v>
      </c>
      <c r="R450" s="195" t="s">
        <v>7</v>
      </c>
      <c r="S450" s="226">
        <v>1</v>
      </c>
      <c r="T450" s="226">
        <v>1.1000000000000001</v>
      </c>
      <c r="U450" s="226">
        <v>1</v>
      </c>
      <c r="V450" s="226">
        <v>1.1000000000000001</v>
      </c>
      <c r="W450" s="226">
        <v>1.2</v>
      </c>
      <c r="X450" s="226">
        <v>1.1000000000000001</v>
      </c>
      <c r="Y450" s="226">
        <v>1.1000000000000001</v>
      </c>
      <c r="Z450" s="226">
        <v>1.1000000000000001</v>
      </c>
      <c r="AA450" s="226">
        <v>0.9</v>
      </c>
      <c r="AC450" s="195" t="s">
        <v>7</v>
      </c>
      <c r="AD450" s="69">
        <f t="shared" si="457"/>
        <v>8908.64</v>
      </c>
      <c r="AE450" s="69">
        <f t="shared" si="453"/>
        <v>10350.582</v>
      </c>
      <c r="AF450" s="69">
        <f t="shared" si="453"/>
        <v>9775</v>
      </c>
      <c r="AG450" s="69">
        <f t="shared" si="453"/>
        <v>12043.68</v>
      </c>
      <c r="AH450" s="69">
        <f t="shared" si="453"/>
        <v>13860.528</v>
      </c>
      <c r="AI450" s="69">
        <f t="shared" si="453"/>
        <v>12973.444000000001</v>
      </c>
      <c r="AJ450" s="69">
        <f t="shared" si="453"/>
        <v>13506.57</v>
      </c>
      <c r="AK450" s="69">
        <f t="shared" si="453"/>
        <v>12763.674000000001</v>
      </c>
      <c r="AL450" s="69">
        <f t="shared" si="453"/>
        <v>10506.744000000001</v>
      </c>
      <c r="AN450" s="195" t="s">
        <v>7</v>
      </c>
      <c r="AO450" s="98">
        <f t="shared" ref="AO450:AW450" si="461">H450/H450</f>
        <v>1</v>
      </c>
      <c r="AP450" s="98">
        <f t="shared" si="461"/>
        <v>1</v>
      </c>
      <c r="AQ450" s="98">
        <f t="shared" si="461"/>
        <v>1</v>
      </c>
      <c r="AR450" s="98">
        <f t="shared" si="461"/>
        <v>1</v>
      </c>
      <c r="AS450" s="98">
        <f t="shared" si="461"/>
        <v>1</v>
      </c>
      <c r="AT450" s="98">
        <f t="shared" si="461"/>
        <v>1</v>
      </c>
      <c r="AU450" s="98">
        <f t="shared" si="461"/>
        <v>1</v>
      </c>
      <c r="AV450" s="98">
        <f t="shared" si="461"/>
        <v>1</v>
      </c>
      <c r="AW450" s="98">
        <f t="shared" si="461"/>
        <v>1</v>
      </c>
      <c r="AX450" s="191"/>
      <c r="AY450" s="195" t="s">
        <v>7</v>
      </c>
      <c r="AZ450" s="178">
        <f t="shared" si="455"/>
        <v>0.02</v>
      </c>
      <c r="BA450" s="178">
        <f t="shared" si="455"/>
        <v>2.2000000000000002E-2</v>
      </c>
      <c r="BB450" s="178">
        <f t="shared" si="455"/>
        <v>0.02</v>
      </c>
      <c r="BC450" s="178">
        <f t="shared" si="455"/>
        <v>2.2000000000000002E-2</v>
      </c>
      <c r="BD450" s="178">
        <f t="shared" si="455"/>
        <v>2.4E-2</v>
      </c>
      <c r="BE450" s="178">
        <f t="shared" si="455"/>
        <v>2.2000000000000002E-2</v>
      </c>
      <c r="BF450" s="178">
        <f t="shared" si="455"/>
        <v>2.2000000000000002E-2</v>
      </c>
      <c r="BG450" s="178">
        <f t="shared" si="455"/>
        <v>2.2000000000000002E-2</v>
      </c>
      <c r="BH450" s="178">
        <f t="shared" si="455"/>
        <v>1.8000000000000002E-2</v>
      </c>
      <c r="BI450" s="191"/>
      <c r="BJ450" s="191"/>
      <c r="BK450" s="191"/>
      <c r="BL450" s="191"/>
      <c r="BM450" s="191"/>
      <c r="BN450" s="191"/>
      <c r="BO450" s="191"/>
      <c r="BP450" s="191"/>
    </row>
    <row r="451" spans="2:68" s="108" customFormat="1" x14ac:dyDescent="0.25">
      <c r="B451" s="107"/>
      <c r="E451" s="109" t="s">
        <v>1</v>
      </c>
      <c r="F451" s="110" t="s">
        <v>75</v>
      </c>
      <c r="G451" s="111" t="s">
        <v>54</v>
      </c>
      <c r="H451" s="112">
        <v>161274</v>
      </c>
      <c r="I451" s="112">
        <v>155457</v>
      </c>
      <c r="J451" s="112">
        <v>145412</v>
      </c>
      <c r="K451" s="112">
        <v>167559</v>
      </c>
      <c r="L451" s="112">
        <v>172422</v>
      </c>
      <c r="M451" s="112">
        <v>171142</v>
      </c>
      <c r="N451" s="112">
        <v>160372</v>
      </c>
      <c r="O451" s="112">
        <v>126060</v>
      </c>
      <c r="P451" s="112">
        <v>126969</v>
      </c>
      <c r="R451" s="111" t="s">
        <v>54</v>
      </c>
      <c r="S451" s="220">
        <v>4.2</v>
      </c>
      <c r="T451" s="220">
        <v>5</v>
      </c>
      <c r="U451" s="220">
        <v>5.2</v>
      </c>
      <c r="V451" s="220">
        <v>5.2</v>
      </c>
      <c r="W451" s="220">
        <v>5.8</v>
      </c>
      <c r="X451" s="220">
        <v>6.8</v>
      </c>
      <c r="Y451" s="220">
        <v>6.8</v>
      </c>
      <c r="Z451" s="220">
        <v>6.3</v>
      </c>
      <c r="AA451" s="220">
        <v>6.4</v>
      </c>
      <c r="AC451" s="111" t="s">
        <v>54</v>
      </c>
      <c r="AD451" s="112">
        <f t="shared" si="457"/>
        <v>13547.016000000001</v>
      </c>
      <c r="AE451" s="112">
        <f t="shared" si="453"/>
        <v>15545.7</v>
      </c>
      <c r="AF451" s="112">
        <f t="shared" si="453"/>
        <v>15122.848</v>
      </c>
      <c r="AG451" s="112">
        <f t="shared" si="453"/>
        <v>17426.136000000002</v>
      </c>
      <c r="AH451" s="112">
        <f t="shared" si="453"/>
        <v>20000.952000000001</v>
      </c>
      <c r="AI451" s="112">
        <f t="shared" si="453"/>
        <v>23275.311999999998</v>
      </c>
      <c r="AJ451" s="112">
        <f t="shared" si="453"/>
        <v>21810.591999999997</v>
      </c>
      <c r="AK451" s="112">
        <f t="shared" si="453"/>
        <v>15883.56</v>
      </c>
      <c r="AL451" s="112">
        <f t="shared" si="453"/>
        <v>16252.032000000001</v>
      </c>
      <c r="AN451" s="111" t="s">
        <v>54</v>
      </c>
      <c r="AO451" s="113">
        <f t="shared" ref="AO451:AW451" si="462">H451/H450</f>
        <v>0.36206199823991092</v>
      </c>
      <c r="AP451" s="113">
        <f t="shared" si="462"/>
        <v>0.33042141978103262</v>
      </c>
      <c r="AQ451" s="113">
        <f t="shared" si="462"/>
        <v>0.29751815856777492</v>
      </c>
      <c r="AR451" s="113">
        <f t="shared" si="462"/>
        <v>0.30607737834283211</v>
      </c>
      <c r="AS451" s="113">
        <f t="shared" si="462"/>
        <v>0.29855486024774813</v>
      </c>
      <c r="AT451" s="113">
        <f t="shared" si="462"/>
        <v>0.29021777100976426</v>
      </c>
      <c r="AU451" s="113">
        <f t="shared" si="462"/>
        <v>0.26121983597612125</v>
      </c>
      <c r="AV451" s="113">
        <f t="shared" si="462"/>
        <v>0.21728226527879041</v>
      </c>
      <c r="AW451" s="113">
        <f t="shared" si="462"/>
        <v>0.21752143194885115</v>
      </c>
      <c r="AY451" s="111" t="s">
        <v>54</v>
      </c>
      <c r="AZ451" s="179">
        <f t="shared" si="455"/>
        <v>3.0413207852152516E-2</v>
      </c>
      <c r="BA451" s="179">
        <f t="shared" si="455"/>
        <v>3.3042141978103262E-2</v>
      </c>
      <c r="BB451" s="179">
        <f t="shared" si="455"/>
        <v>3.0941888491048591E-2</v>
      </c>
      <c r="BC451" s="179">
        <f t="shared" si="455"/>
        <v>3.1832047347654539E-2</v>
      </c>
      <c r="BD451" s="179">
        <f t="shared" si="455"/>
        <v>3.4632363788738782E-2</v>
      </c>
      <c r="BE451" s="179">
        <f t="shared" si="455"/>
        <v>3.9469616857327937E-2</v>
      </c>
      <c r="BF451" s="179">
        <f t="shared" si="455"/>
        <v>3.5525897692752488E-2</v>
      </c>
      <c r="BG451" s="179">
        <f t="shared" si="455"/>
        <v>2.7377565425127592E-2</v>
      </c>
      <c r="BH451" s="179">
        <f t="shared" si="455"/>
        <v>2.7842743289452951E-2</v>
      </c>
    </row>
    <row r="452" spans="2:68" s="108" customFormat="1" x14ac:dyDescent="0.25">
      <c r="B452" s="107"/>
      <c r="E452" s="109" t="s">
        <v>1</v>
      </c>
      <c r="F452" s="110" t="s">
        <v>75</v>
      </c>
      <c r="G452" s="111" t="s">
        <v>55</v>
      </c>
      <c r="H452" s="70">
        <v>46974</v>
      </c>
      <c r="I452" s="70">
        <v>81148</v>
      </c>
      <c r="J452" s="70">
        <v>79980</v>
      </c>
      <c r="K452" s="70">
        <v>85873</v>
      </c>
      <c r="L452" s="70">
        <v>70901</v>
      </c>
      <c r="M452" s="112">
        <v>67199</v>
      </c>
      <c r="N452" s="112">
        <v>64394</v>
      </c>
      <c r="O452" s="112">
        <v>61402</v>
      </c>
      <c r="P452" s="112">
        <v>53091</v>
      </c>
      <c r="R452" s="111" t="s">
        <v>55</v>
      </c>
      <c r="S452" s="81">
        <v>9.1</v>
      </c>
      <c r="T452" s="81">
        <v>7.5</v>
      </c>
      <c r="U452" s="81">
        <v>7.7</v>
      </c>
      <c r="V452" s="81">
        <v>7.6</v>
      </c>
      <c r="W452" s="81">
        <v>9.6999999999999993</v>
      </c>
      <c r="X452" s="81">
        <v>10.9</v>
      </c>
      <c r="Y452" s="81">
        <v>12.1</v>
      </c>
      <c r="Z452" s="81">
        <v>9.6999999999999993</v>
      </c>
      <c r="AA452" s="81">
        <v>11.1</v>
      </c>
      <c r="AC452" s="111" t="s">
        <v>55</v>
      </c>
      <c r="AD452" s="70">
        <f t="shared" si="457"/>
        <v>8549.268</v>
      </c>
      <c r="AE452" s="70">
        <f t="shared" si="453"/>
        <v>12172.2</v>
      </c>
      <c r="AF452" s="70">
        <f t="shared" si="453"/>
        <v>12316.92</v>
      </c>
      <c r="AG452" s="70">
        <f t="shared" si="453"/>
        <v>13052.695999999998</v>
      </c>
      <c r="AH452" s="70">
        <f t="shared" si="453"/>
        <v>13754.794</v>
      </c>
      <c r="AI452" s="70">
        <f t="shared" si="453"/>
        <v>14649.382</v>
      </c>
      <c r="AJ452" s="70">
        <f t="shared" si="453"/>
        <v>15583.348</v>
      </c>
      <c r="AK452" s="70">
        <f t="shared" si="453"/>
        <v>11911.987999999998</v>
      </c>
      <c r="AL452" s="70">
        <f t="shared" si="453"/>
        <v>11786.201999999999</v>
      </c>
      <c r="AN452" s="111" t="s">
        <v>55</v>
      </c>
      <c r="AO452" s="113">
        <f t="shared" ref="AO452:AW452" si="463">H452/H450</f>
        <v>0.10545717415901866</v>
      </c>
      <c r="AP452" s="113">
        <f t="shared" si="463"/>
        <v>0.17247880360737203</v>
      </c>
      <c r="AQ452" s="113">
        <f t="shared" si="463"/>
        <v>0.16364194373401533</v>
      </c>
      <c r="AR452" s="113">
        <f t="shared" si="463"/>
        <v>0.15686285255005114</v>
      </c>
      <c r="AS452" s="113">
        <f t="shared" si="463"/>
        <v>0.12276761751067491</v>
      </c>
      <c r="AT452" s="113">
        <f t="shared" si="463"/>
        <v>0.11395416668079809</v>
      </c>
      <c r="AU452" s="113">
        <f t="shared" si="463"/>
        <v>0.10488732520543706</v>
      </c>
      <c r="AV452" s="113">
        <f t="shared" si="463"/>
        <v>0.10583504404766214</v>
      </c>
      <c r="AW452" s="113">
        <f t="shared" si="463"/>
        <v>9.0954723937311119E-2</v>
      </c>
      <c r="AY452" s="111" t="s">
        <v>55</v>
      </c>
      <c r="AZ452" s="179">
        <f t="shared" si="455"/>
        <v>1.9193205696941395E-2</v>
      </c>
      <c r="BA452" s="179">
        <f t="shared" si="455"/>
        <v>2.5871820541105803E-2</v>
      </c>
      <c r="BB452" s="179">
        <f t="shared" si="455"/>
        <v>2.5200859335038364E-2</v>
      </c>
      <c r="BC452" s="179">
        <f t="shared" si="455"/>
        <v>2.384315358760777E-2</v>
      </c>
      <c r="BD452" s="179">
        <f t="shared" si="455"/>
        <v>2.381691779707093E-2</v>
      </c>
      <c r="BE452" s="179">
        <f t="shared" si="455"/>
        <v>2.4842008336413986E-2</v>
      </c>
      <c r="BF452" s="179">
        <f t="shared" si="455"/>
        <v>2.538273269971577E-2</v>
      </c>
      <c r="BG452" s="179">
        <f t="shared" si="455"/>
        <v>2.0531998545246455E-2</v>
      </c>
      <c r="BH452" s="179">
        <f t="shared" si="455"/>
        <v>2.0191948714083065E-2</v>
      </c>
    </row>
    <row r="453" spans="2:68" s="108" customFormat="1" x14ac:dyDescent="0.25">
      <c r="B453" s="107"/>
      <c r="E453" s="109" t="s">
        <v>1</v>
      </c>
      <c r="F453" s="110" t="s">
        <v>75</v>
      </c>
      <c r="G453" s="111" t="s">
        <v>130</v>
      </c>
      <c r="H453" s="70">
        <v>71698</v>
      </c>
      <c r="I453" s="70">
        <v>64906</v>
      </c>
      <c r="J453" s="70">
        <v>70844</v>
      </c>
      <c r="K453" s="70">
        <v>69410</v>
      </c>
      <c r="L453" s="70">
        <v>90248</v>
      </c>
      <c r="M453" s="70">
        <v>83131</v>
      </c>
      <c r="N453" s="70">
        <v>95394</v>
      </c>
      <c r="O453" s="112">
        <v>93421</v>
      </c>
      <c r="P453" s="112">
        <v>88252</v>
      </c>
      <c r="R453" s="111" t="s">
        <v>130</v>
      </c>
      <c r="S453" s="220">
        <v>7.1</v>
      </c>
      <c r="T453" s="220">
        <v>8.9</v>
      </c>
      <c r="U453" s="220">
        <v>8.1999999999999993</v>
      </c>
      <c r="V453" s="220">
        <v>8.9</v>
      </c>
      <c r="W453" s="220">
        <v>8.3000000000000007</v>
      </c>
      <c r="X453" s="220">
        <v>9.9</v>
      </c>
      <c r="Y453" s="220">
        <v>9.6</v>
      </c>
      <c r="Z453" s="220">
        <v>7.7</v>
      </c>
      <c r="AA453" s="220">
        <v>8.1</v>
      </c>
      <c r="AC453" s="111" t="s">
        <v>130</v>
      </c>
      <c r="AD453" s="70">
        <f t="shared" si="457"/>
        <v>10181.116</v>
      </c>
      <c r="AE453" s="70">
        <f t="shared" si="453"/>
        <v>11553.268</v>
      </c>
      <c r="AF453" s="70">
        <f t="shared" si="453"/>
        <v>11618.415999999999</v>
      </c>
      <c r="AG453" s="70">
        <f t="shared" si="453"/>
        <v>12354.98</v>
      </c>
      <c r="AH453" s="70">
        <f t="shared" si="453"/>
        <v>14981.168</v>
      </c>
      <c r="AI453" s="70">
        <f t="shared" si="453"/>
        <v>16459.938000000002</v>
      </c>
      <c r="AJ453" s="70">
        <f t="shared" si="453"/>
        <v>18315.648000000001</v>
      </c>
      <c r="AK453" s="70">
        <f t="shared" si="453"/>
        <v>14386.834000000001</v>
      </c>
      <c r="AL453" s="70">
        <f t="shared" si="453"/>
        <v>14296.823999999999</v>
      </c>
      <c r="AN453" s="111" t="s">
        <v>130</v>
      </c>
      <c r="AO453" s="113">
        <f t="shared" ref="AO453:AW453" si="464">H453/H450</f>
        <v>0.16096284056825733</v>
      </c>
      <c r="AP453" s="113">
        <f t="shared" si="464"/>
        <v>0.13795668688002277</v>
      </c>
      <c r="AQ453" s="113">
        <f t="shared" si="464"/>
        <v>0.14494936061381075</v>
      </c>
      <c r="AR453" s="113">
        <f t="shared" si="464"/>
        <v>0.12679015051877832</v>
      </c>
      <c r="AS453" s="113">
        <f t="shared" si="464"/>
        <v>0.15626764002063992</v>
      </c>
      <c r="AT453" s="113">
        <f t="shared" si="464"/>
        <v>0.14097120240392605</v>
      </c>
      <c r="AU453" s="113">
        <f t="shared" si="464"/>
        <v>0.15538127000415353</v>
      </c>
      <c r="AV453" s="113">
        <f t="shared" si="464"/>
        <v>0.16102432575448103</v>
      </c>
      <c r="AW453" s="113">
        <f t="shared" si="464"/>
        <v>0.15119203437335105</v>
      </c>
      <c r="AY453" s="111" t="s">
        <v>130</v>
      </c>
      <c r="AZ453" s="179">
        <f t="shared" si="455"/>
        <v>2.2856723360692541E-2</v>
      </c>
      <c r="BA453" s="179">
        <f t="shared" si="455"/>
        <v>2.4556290264644055E-2</v>
      </c>
      <c r="BB453" s="179">
        <f t="shared" si="455"/>
        <v>2.3771695140664958E-2</v>
      </c>
      <c r="BC453" s="179">
        <f t="shared" si="455"/>
        <v>2.256864679234254E-2</v>
      </c>
      <c r="BD453" s="179">
        <f t="shared" si="455"/>
        <v>2.5940428243426229E-2</v>
      </c>
      <c r="BE453" s="179">
        <f t="shared" si="455"/>
        <v>2.7912298075977358E-2</v>
      </c>
      <c r="BF453" s="179">
        <f t="shared" si="455"/>
        <v>2.9833203840797476E-2</v>
      </c>
      <c r="BG453" s="179">
        <f t="shared" si="455"/>
        <v>2.4797746166190078E-2</v>
      </c>
      <c r="BH453" s="179">
        <f t="shared" si="455"/>
        <v>2.4493109568482871E-2</v>
      </c>
    </row>
    <row r="454" spans="2:68" s="108" customFormat="1" x14ac:dyDescent="0.25">
      <c r="B454" s="107"/>
      <c r="E454" s="109" t="s">
        <v>1</v>
      </c>
      <c r="F454" s="110" t="s">
        <v>75</v>
      </c>
      <c r="G454" s="111" t="s">
        <v>131</v>
      </c>
      <c r="H454" s="112">
        <v>165441</v>
      </c>
      <c r="I454" s="112">
        <v>168928</v>
      </c>
      <c r="J454" s="112">
        <v>192515</v>
      </c>
      <c r="K454" s="112">
        <v>224598</v>
      </c>
      <c r="L454" s="112">
        <v>243951</v>
      </c>
      <c r="M454" s="112">
        <v>268231</v>
      </c>
      <c r="N454" s="112">
        <v>293775</v>
      </c>
      <c r="O454" s="112">
        <v>299284</v>
      </c>
      <c r="P454" s="112">
        <v>315396</v>
      </c>
      <c r="R454" s="111" t="s">
        <v>131</v>
      </c>
      <c r="S454" s="220">
        <v>4.2</v>
      </c>
      <c r="T454" s="220">
        <v>4.8</v>
      </c>
      <c r="U454" s="220">
        <v>4.8</v>
      </c>
      <c r="V454" s="220">
        <v>4.0999999999999996</v>
      </c>
      <c r="W454" s="220">
        <v>4.7</v>
      </c>
      <c r="X454" s="220">
        <v>4.7</v>
      </c>
      <c r="Y454" s="220">
        <v>4.3</v>
      </c>
      <c r="Z454" s="220">
        <v>3.5</v>
      </c>
      <c r="AA454" s="220">
        <v>3.3</v>
      </c>
      <c r="AC454" s="111" t="s">
        <v>131</v>
      </c>
      <c r="AD454" s="112">
        <f t="shared" si="457"/>
        <v>13897.044000000002</v>
      </c>
      <c r="AE454" s="112">
        <f t="shared" si="453"/>
        <v>16217.088</v>
      </c>
      <c r="AF454" s="112">
        <f t="shared" si="453"/>
        <v>18481.439999999999</v>
      </c>
      <c r="AG454" s="112">
        <f t="shared" si="453"/>
        <v>18417.036</v>
      </c>
      <c r="AH454" s="112">
        <f t="shared" si="453"/>
        <v>22931.394</v>
      </c>
      <c r="AI454" s="112">
        <f t="shared" si="453"/>
        <v>25213.714</v>
      </c>
      <c r="AJ454" s="112">
        <f t="shared" si="453"/>
        <v>25264.65</v>
      </c>
      <c r="AK454" s="112">
        <f t="shared" si="453"/>
        <v>20949.88</v>
      </c>
      <c r="AL454" s="112">
        <f t="shared" si="453"/>
        <v>20816.135999999999</v>
      </c>
      <c r="AN454" s="111" t="s">
        <v>131</v>
      </c>
      <c r="AO454" s="113">
        <f t="shared" ref="AO454:AW454" si="465">H454/H450</f>
        <v>0.37141696151152143</v>
      </c>
      <c r="AP454" s="113">
        <f t="shared" si="465"/>
        <v>0.35905381938909331</v>
      </c>
      <c r="AQ454" s="113">
        <f t="shared" si="465"/>
        <v>0.39389258312020459</v>
      </c>
      <c r="AR454" s="113">
        <f t="shared" si="465"/>
        <v>0.41026961858833844</v>
      </c>
      <c r="AS454" s="113">
        <f t="shared" si="465"/>
        <v>0.42240988222093706</v>
      </c>
      <c r="AT454" s="113">
        <f t="shared" si="465"/>
        <v>0.45485855567727429</v>
      </c>
      <c r="AU454" s="113">
        <f t="shared" si="465"/>
        <v>0.47851156881428814</v>
      </c>
      <c r="AV454" s="113">
        <f t="shared" si="465"/>
        <v>0.51585836491906645</v>
      </c>
      <c r="AW454" s="113">
        <f t="shared" si="465"/>
        <v>0.54033180974048667</v>
      </c>
      <c r="AY454" s="111" t="s">
        <v>131</v>
      </c>
      <c r="AZ454" s="179">
        <f t="shared" si="455"/>
        <v>3.1199024766967801E-2</v>
      </c>
      <c r="BA454" s="179">
        <f t="shared" si="455"/>
        <v>3.4469166661352954E-2</v>
      </c>
      <c r="BB454" s="179">
        <f t="shared" si="455"/>
        <v>3.7813687979539636E-2</v>
      </c>
      <c r="BC454" s="179">
        <f t="shared" si="455"/>
        <v>3.3642108724243752E-2</v>
      </c>
      <c r="BD454" s="179">
        <f t="shared" si="455"/>
        <v>3.9706528928768081E-2</v>
      </c>
      <c r="BE454" s="179">
        <f t="shared" si="455"/>
        <v>4.2756704233663782E-2</v>
      </c>
      <c r="BF454" s="179">
        <f t="shared" si="455"/>
        <v>4.1151994918028782E-2</v>
      </c>
      <c r="BG454" s="179">
        <f t="shared" si="455"/>
        <v>3.6110085544334654E-2</v>
      </c>
      <c r="BH454" s="179">
        <f t="shared" si="455"/>
        <v>3.5661899442872118E-2</v>
      </c>
    </row>
    <row r="455" spans="2:68" s="87" customFormat="1" x14ac:dyDescent="0.25">
      <c r="B455" s="84"/>
      <c r="C455" s="85"/>
      <c r="D455" s="85"/>
      <c r="E455" s="109" t="s">
        <v>2</v>
      </c>
      <c r="F455" s="110" t="s">
        <v>75</v>
      </c>
      <c r="G455" s="195" t="s">
        <v>7</v>
      </c>
      <c r="H455" s="69">
        <v>747564</v>
      </c>
      <c r="I455" s="69">
        <v>740626</v>
      </c>
      <c r="J455" s="69">
        <v>732847</v>
      </c>
      <c r="K455" s="69">
        <v>769807</v>
      </c>
      <c r="L455" s="69">
        <v>798699</v>
      </c>
      <c r="M455" s="69">
        <v>835413</v>
      </c>
      <c r="N455" s="69">
        <v>911423</v>
      </c>
      <c r="O455" s="69">
        <v>1023172</v>
      </c>
      <c r="P455" s="69">
        <v>1003664</v>
      </c>
      <c r="R455" s="195" t="s">
        <v>7</v>
      </c>
      <c r="S455" s="226">
        <v>0.9</v>
      </c>
      <c r="T455" s="226">
        <v>1</v>
      </c>
      <c r="U455" s="226">
        <v>0.8</v>
      </c>
      <c r="V455" s="226">
        <v>0.8</v>
      </c>
      <c r="W455" s="226">
        <v>1</v>
      </c>
      <c r="X455" s="226">
        <v>1</v>
      </c>
      <c r="Y455" s="226">
        <v>1.1000000000000001</v>
      </c>
      <c r="Z455" s="226">
        <v>0.8</v>
      </c>
      <c r="AA455" s="226">
        <v>0.9</v>
      </c>
      <c r="AC455" s="195" t="s">
        <v>7</v>
      </c>
      <c r="AD455" s="69">
        <f t="shared" si="457"/>
        <v>13456.152</v>
      </c>
      <c r="AE455" s="69">
        <f t="shared" si="453"/>
        <v>14812.52</v>
      </c>
      <c r="AF455" s="69">
        <f t="shared" si="453"/>
        <v>11725.552</v>
      </c>
      <c r="AG455" s="69">
        <f t="shared" si="453"/>
        <v>12316.912</v>
      </c>
      <c r="AH455" s="69">
        <f t="shared" si="453"/>
        <v>15973.98</v>
      </c>
      <c r="AI455" s="69">
        <f t="shared" si="453"/>
        <v>16708.259999999998</v>
      </c>
      <c r="AJ455" s="69">
        <f t="shared" si="453"/>
        <v>20051.306</v>
      </c>
      <c r="AK455" s="69">
        <f t="shared" si="453"/>
        <v>16370.752000000002</v>
      </c>
      <c r="AL455" s="69">
        <f t="shared" si="453"/>
        <v>18065.952000000001</v>
      </c>
      <c r="AN455" s="195" t="s">
        <v>7</v>
      </c>
      <c r="AO455" s="98">
        <f t="shared" ref="AO455:AW455" si="466">H455/H455</f>
        <v>1</v>
      </c>
      <c r="AP455" s="98">
        <f t="shared" si="466"/>
        <v>1</v>
      </c>
      <c r="AQ455" s="98">
        <f t="shared" si="466"/>
        <v>1</v>
      </c>
      <c r="AR455" s="98">
        <f t="shared" si="466"/>
        <v>1</v>
      </c>
      <c r="AS455" s="98">
        <f t="shared" si="466"/>
        <v>1</v>
      </c>
      <c r="AT455" s="98">
        <f t="shared" si="466"/>
        <v>1</v>
      </c>
      <c r="AU455" s="98">
        <f t="shared" si="466"/>
        <v>1</v>
      </c>
      <c r="AV455" s="98">
        <f t="shared" si="466"/>
        <v>1</v>
      </c>
      <c r="AW455" s="98">
        <f t="shared" si="466"/>
        <v>1</v>
      </c>
      <c r="AX455" s="191"/>
      <c r="AY455" s="195" t="s">
        <v>7</v>
      </c>
      <c r="AZ455" s="178">
        <f t="shared" si="455"/>
        <v>1.8000000000000002E-2</v>
      </c>
      <c r="BA455" s="178">
        <f t="shared" si="455"/>
        <v>0.02</v>
      </c>
      <c r="BB455" s="178">
        <f t="shared" si="455"/>
        <v>1.6E-2</v>
      </c>
      <c r="BC455" s="178">
        <f t="shared" si="455"/>
        <v>1.6E-2</v>
      </c>
      <c r="BD455" s="178">
        <f t="shared" si="455"/>
        <v>0.02</v>
      </c>
      <c r="BE455" s="178">
        <f t="shared" si="455"/>
        <v>0.02</v>
      </c>
      <c r="BF455" s="178">
        <f t="shared" si="455"/>
        <v>2.2000000000000002E-2</v>
      </c>
      <c r="BG455" s="178">
        <f t="shared" si="455"/>
        <v>1.6E-2</v>
      </c>
      <c r="BH455" s="178">
        <f t="shared" si="455"/>
        <v>1.8000000000000002E-2</v>
      </c>
      <c r="BI455" s="191"/>
      <c r="BJ455" s="191"/>
      <c r="BK455" s="191"/>
      <c r="BL455" s="191"/>
      <c r="BM455" s="191"/>
      <c r="BN455" s="191"/>
      <c r="BO455" s="191"/>
      <c r="BP455" s="191"/>
    </row>
    <row r="456" spans="2:68" s="108" customFormat="1" x14ac:dyDescent="0.25">
      <c r="B456" s="107"/>
      <c r="E456" s="109" t="s">
        <v>2</v>
      </c>
      <c r="F456" s="110" t="s">
        <v>75</v>
      </c>
      <c r="G456" s="111" t="s">
        <v>54</v>
      </c>
      <c r="H456" s="112">
        <v>244198</v>
      </c>
      <c r="I456" s="112">
        <v>192038</v>
      </c>
      <c r="J456" s="112">
        <v>209552</v>
      </c>
      <c r="K456" s="112">
        <v>200350</v>
      </c>
      <c r="L456" s="112">
        <v>199728</v>
      </c>
      <c r="M456" s="112">
        <v>201781</v>
      </c>
      <c r="N456" s="112">
        <v>201348</v>
      </c>
      <c r="O456" s="112">
        <v>212461</v>
      </c>
      <c r="P456" s="112">
        <v>194119</v>
      </c>
      <c r="R456" s="111" t="s">
        <v>54</v>
      </c>
      <c r="S456" s="220">
        <v>3.8</v>
      </c>
      <c r="T456" s="220">
        <v>5.2</v>
      </c>
      <c r="U456" s="220">
        <v>4.9000000000000004</v>
      </c>
      <c r="V456" s="220">
        <v>4.5999999999999996</v>
      </c>
      <c r="W456" s="220">
        <v>5.2</v>
      </c>
      <c r="X456" s="220">
        <v>5.4</v>
      </c>
      <c r="Y456" s="220">
        <v>5.4</v>
      </c>
      <c r="Z456" s="220">
        <v>5</v>
      </c>
      <c r="AA456" s="220">
        <v>6.1</v>
      </c>
      <c r="AC456" s="111" t="s">
        <v>54</v>
      </c>
      <c r="AD456" s="112">
        <f t="shared" si="457"/>
        <v>18559.047999999999</v>
      </c>
      <c r="AE456" s="112">
        <f t="shared" si="453"/>
        <v>19971.952000000001</v>
      </c>
      <c r="AF456" s="112">
        <f t="shared" si="453"/>
        <v>20536.096000000001</v>
      </c>
      <c r="AG456" s="112">
        <f t="shared" si="453"/>
        <v>18432.199999999997</v>
      </c>
      <c r="AH456" s="112">
        <f t="shared" si="453"/>
        <v>20771.712000000003</v>
      </c>
      <c r="AI456" s="112">
        <f t="shared" si="453"/>
        <v>21792.348000000002</v>
      </c>
      <c r="AJ456" s="112">
        <f t="shared" si="453"/>
        <v>21745.584000000003</v>
      </c>
      <c r="AK456" s="112">
        <f t="shared" si="453"/>
        <v>21246.1</v>
      </c>
      <c r="AL456" s="112">
        <f t="shared" si="453"/>
        <v>23682.517999999996</v>
      </c>
      <c r="AN456" s="111" t="s">
        <v>54</v>
      </c>
      <c r="AO456" s="113">
        <f t="shared" ref="AO456:AW456" si="467">H456/H455</f>
        <v>0.32665831955524877</v>
      </c>
      <c r="AP456" s="113">
        <f t="shared" si="467"/>
        <v>0.25929146424781196</v>
      </c>
      <c r="AQ456" s="113">
        <f t="shared" si="467"/>
        <v>0.28594235904629478</v>
      </c>
      <c r="AR456" s="113">
        <f t="shared" si="467"/>
        <v>0.26026003920463181</v>
      </c>
      <c r="AS456" s="113">
        <f t="shared" si="467"/>
        <v>0.25006667092358947</v>
      </c>
      <c r="AT456" s="113">
        <f t="shared" si="467"/>
        <v>0.24153442668476549</v>
      </c>
      <c r="AU456" s="113">
        <f t="shared" si="467"/>
        <v>0.22091608396979229</v>
      </c>
      <c r="AV456" s="113">
        <f t="shared" si="467"/>
        <v>0.20764934927851816</v>
      </c>
      <c r="AW456" s="113">
        <f t="shared" si="467"/>
        <v>0.19341034449776021</v>
      </c>
      <c r="AY456" s="111" t="s">
        <v>54</v>
      </c>
      <c r="AZ456" s="179">
        <f t="shared" si="455"/>
        <v>2.4826032286198906E-2</v>
      </c>
      <c r="BA456" s="179">
        <f t="shared" si="455"/>
        <v>2.6966312281772445E-2</v>
      </c>
      <c r="BB456" s="179">
        <f t="shared" si="455"/>
        <v>2.8022351186536891E-2</v>
      </c>
      <c r="BC456" s="179">
        <f t="shared" si="455"/>
        <v>2.3943923606826126E-2</v>
      </c>
      <c r="BD456" s="179">
        <f t="shared" si="455"/>
        <v>2.6006933776053308E-2</v>
      </c>
      <c r="BE456" s="179">
        <f t="shared" si="455"/>
        <v>2.6085718081954673E-2</v>
      </c>
      <c r="BF456" s="179">
        <f t="shared" si="455"/>
        <v>2.3858937068737568E-2</v>
      </c>
      <c r="BG456" s="179">
        <f t="shared" si="455"/>
        <v>2.0764934927851818E-2</v>
      </c>
      <c r="BH456" s="179">
        <f t="shared" si="455"/>
        <v>2.3596062028726744E-2</v>
      </c>
    </row>
    <row r="457" spans="2:68" s="108" customFormat="1" x14ac:dyDescent="0.25">
      <c r="B457" s="107"/>
      <c r="E457" s="109" t="s">
        <v>2</v>
      </c>
      <c r="F457" s="110" t="s">
        <v>75</v>
      </c>
      <c r="G457" s="111" t="s">
        <v>55</v>
      </c>
      <c r="H457" s="70">
        <v>162012</v>
      </c>
      <c r="I457" s="70">
        <v>174436</v>
      </c>
      <c r="J457" s="70">
        <v>151411</v>
      </c>
      <c r="K457" s="70">
        <v>159193</v>
      </c>
      <c r="L457" s="70">
        <v>157388</v>
      </c>
      <c r="M457" s="112">
        <v>172270</v>
      </c>
      <c r="N457" s="112">
        <v>183038</v>
      </c>
      <c r="O457" s="112">
        <v>210324</v>
      </c>
      <c r="P457" s="112">
        <v>196142</v>
      </c>
      <c r="R457" s="111" t="s">
        <v>55</v>
      </c>
      <c r="S457" s="81">
        <v>4.7</v>
      </c>
      <c r="T457" s="81">
        <v>5.3</v>
      </c>
      <c r="U457" s="81">
        <v>5.3</v>
      </c>
      <c r="V457" s="81">
        <v>5.5</v>
      </c>
      <c r="W457" s="81">
        <v>6.2</v>
      </c>
      <c r="X457" s="81">
        <v>7</v>
      </c>
      <c r="Y457" s="81">
        <v>7</v>
      </c>
      <c r="Z457" s="81">
        <v>5</v>
      </c>
      <c r="AA457" s="81">
        <v>5.9</v>
      </c>
      <c r="AC457" s="111" t="s">
        <v>55</v>
      </c>
      <c r="AD457" s="70">
        <f t="shared" si="457"/>
        <v>15229.128000000001</v>
      </c>
      <c r="AE457" s="70">
        <f t="shared" si="453"/>
        <v>18490.216</v>
      </c>
      <c r="AF457" s="70">
        <f t="shared" si="453"/>
        <v>16049.565999999999</v>
      </c>
      <c r="AG457" s="70">
        <f t="shared" si="453"/>
        <v>17511.23</v>
      </c>
      <c r="AH457" s="70">
        <f t="shared" si="453"/>
        <v>19516.112000000001</v>
      </c>
      <c r="AI457" s="70">
        <f t="shared" si="453"/>
        <v>24117.8</v>
      </c>
      <c r="AJ457" s="70">
        <f t="shared" si="453"/>
        <v>25625.32</v>
      </c>
      <c r="AK457" s="70">
        <f t="shared" si="453"/>
        <v>21032.400000000001</v>
      </c>
      <c r="AL457" s="70">
        <f t="shared" si="453"/>
        <v>23144.756000000001</v>
      </c>
      <c r="AN457" s="111" t="s">
        <v>55</v>
      </c>
      <c r="AO457" s="113">
        <f t="shared" ref="AO457:AW457" si="468">H457/H455</f>
        <v>0.21671990625551793</v>
      </c>
      <c r="AP457" s="113">
        <f t="shared" si="468"/>
        <v>0.23552508283533119</v>
      </c>
      <c r="AQ457" s="113">
        <f t="shared" si="468"/>
        <v>0.20660656317075735</v>
      </c>
      <c r="AR457" s="113">
        <f t="shared" si="468"/>
        <v>0.2067959891245468</v>
      </c>
      <c r="AS457" s="113">
        <f t="shared" si="468"/>
        <v>0.19705546144417357</v>
      </c>
      <c r="AT457" s="113">
        <f t="shared" si="468"/>
        <v>0.2062093838616349</v>
      </c>
      <c r="AU457" s="113">
        <f t="shared" si="468"/>
        <v>0.20082661947306574</v>
      </c>
      <c r="AV457" s="113">
        <f t="shared" si="468"/>
        <v>0.20556074638477206</v>
      </c>
      <c r="AW457" s="113">
        <f t="shared" si="468"/>
        <v>0.19542595928517911</v>
      </c>
      <c r="AY457" s="111" t="s">
        <v>55</v>
      </c>
      <c r="AZ457" s="179">
        <f t="shared" si="455"/>
        <v>2.0371671188018685E-2</v>
      </c>
      <c r="BA457" s="179">
        <f t="shared" si="455"/>
        <v>2.4965658780545102E-2</v>
      </c>
      <c r="BB457" s="179">
        <f t="shared" si="455"/>
        <v>2.1900295696100275E-2</v>
      </c>
      <c r="BC457" s="179">
        <f t="shared" si="455"/>
        <v>2.2747558803700149E-2</v>
      </c>
      <c r="BD457" s="179">
        <f t="shared" si="455"/>
        <v>2.4434877219077524E-2</v>
      </c>
      <c r="BE457" s="179">
        <f t="shared" si="455"/>
        <v>2.8869313740628889E-2</v>
      </c>
      <c r="BF457" s="179">
        <f t="shared" si="455"/>
        <v>2.8115726726229206E-2</v>
      </c>
      <c r="BG457" s="179">
        <f t="shared" si="455"/>
        <v>2.0556074638477206E-2</v>
      </c>
      <c r="BH457" s="179">
        <f t="shared" si="455"/>
        <v>2.3060263195651135E-2</v>
      </c>
    </row>
    <row r="458" spans="2:68" s="108" customFormat="1" x14ac:dyDescent="0.25">
      <c r="B458" s="107"/>
      <c r="E458" s="109" t="s">
        <v>2</v>
      </c>
      <c r="F458" s="110" t="s">
        <v>75</v>
      </c>
      <c r="G458" s="111" t="s">
        <v>130</v>
      </c>
      <c r="H458" s="70">
        <v>102880</v>
      </c>
      <c r="I458" s="70">
        <v>122693</v>
      </c>
      <c r="J458" s="70">
        <v>105036</v>
      </c>
      <c r="K458" s="70">
        <v>105315</v>
      </c>
      <c r="L458" s="70">
        <v>95249</v>
      </c>
      <c r="M458" s="70">
        <v>118658</v>
      </c>
      <c r="N458" s="70">
        <v>112100</v>
      </c>
      <c r="O458" s="112">
        <v>144900</v>
      </c>
      <c r="P458" s="112">
        <v>143017</v>
      </c>
      <c r="R458" s="111" t="s">
        <v>130</v>
      </c>
      <c r="S458" s="220">
        <v>6.1</v>
      </c>
      <c r="T458" s="220">
        <v>6.7</v>
      </c>
      <c r="U458" s="220">
        <v>6.9</v>
      </c>
      <c r="V458" s="220">
        <v>7.2</v>
      </c>
      <c r="W458" s="220">
        <v>8.1</v>
      </c>
      <c r="X458" s="220">
        <v>8.8000000000000007</v>
      </c>
      <c r="Y458" s="220">
        <v>9.1</v>
      </c>
      <c r="Z458" s="220">
        <v>6.7</v>
      </c>
      <c r="AA458" s="220">
        <v>6.8</v>
      </c>
      <c r="AC458" s="111" t="s">
        <v>130</v>
      </c>
      <c r="AD458" s="70">
        <f t="shared" si="457"/>
        <v>12551.36</v>
      </c>
      <c r="AE458" s="70">
        <f t="shared" si="453"/>
        <v>16440.862000000001</v>
      </c>
      <c r="AF458" s="70">
        <f t="shared" si="453"/>
        <v>14494.968000000001</v>
      </c>
      <c r="AG458" s="70">
        <f t="shared" si="453"/>
        <v>15165.36</v>
      </c>
      <c r="AH458" s="70">
        <f t="shared" si="453"/>
        <v>15430.338</v>
      </c>
      <c r="AI458" s="70">
        <f t="shared" si="453"/>
        <v>20883.808000000005</v>
      </c>
      <c r="AJ458" s="70">
        <f t="shared" si="453"/>
        <v>20402.2</v>
      </c>
      <c r="AK458" s="70">
        <f t="shared" si="453"/>
        <v>19416.599999999999</v>
      </c>
      <c r="AL458" s="70">
        <f t="shared" si="453"/>
        <v>19450.311999999998</v>
      </c>
      <c r="AN458" s="111" t="s">
        <v>130</v>
      </c>
      <c r="AO458" s="113">
        <f t="shared" ref="AO458:AW458" si="469">H458/H455</f>
        <v>0.13762032414616007</v>
      </c>
      <c r="AP458" s="113">
        <f t="shared" si="469"/>
        <v>0.16566121092157174</v>
      </c>
      <c r="AQ458" s="113">
        <f t="shared" si="469"/>
        <v>0.14332596026182817</v>
      </c>
      <c r="AR458" s="113">
        <f t="shared" si="469"/>
        <v>0.13680701786291888</v>
      </c>
      <c r="AS458" s="113">
        <f t="shared" si="469"/>
        <v>0.11925518875070583</v>
      </c>
      <c r="AT458" s="113">
        <f t="shared" si="469"/>
        <v>0.14203513711182372</v>
      </c>
      <c r="AU458" s="113">
        <f t="shared" si="469"/>
        <v>0.12299448225467209</v>
      </c>
      <c r="AV458" s="113">
        <f t="shared" si="469"/>
        <v>0.14161841801769398</v>
      </c>
      <c r="AW458" s="113">
        <f t="shared" si="469"/>
        <v>0.14249489869119547</v>
      </c>
      <c r="AY458" s="111" t="s">
        <v>130</v>
      </c>
      <c r="AZ458" s="179">
        <f t="shared" si="455"/>
        <v>1.6789679545831528E-2</v>
      </c>
      <c r="BA458" s="179">
        <f t="shared" si="455"/>
        <v>2.2198602263490616E-2</v>
      </c>
      <c r="BB458" s="179">
        <f t="shared" si="455"/>
        <v>1.977898251613229E-2</v>
      </c>
      <c r="BC458" s="179">
        <f t="shared" si="455"/>
        <v>1.9700210572260318E-2</v>
      </c>
      <c r="BD458" s="179">
        <f t="shared" si="455"/>
        <v>1.9319340577614343E-2</v>
      </c>
      <c r="BE458" s="179">
        <f t="shared" si="455"/>
        <v>2.4998184131680978E-2</v>
      </c>
      <c r="BF458" s="179">
        <f t="shared" si="455"/>
        <v>2.2384995770350316E-2</v>
      </c>
      <c r="BG458" s="179">
        <f t="shared" si="455"/>
        <v>1.8976868014370995E-2</v>
      </c>
      <c r="BH458" s="179">
        <f t="shared" si="455"/>
        <v>1.9379306222002582E-2</v>
      </c>
    </row>
    <row r="459" spans="2:68" s="108" customFormat="1" x14ac:dyDescent="0.25">
      <c r="B459" s="107"/>
      <c r="E459" s="109" t="s">
        <v>2</v>
      </c>
      <c r="F459" s="110" t="s">
        <v>75</v>
      </c>
      <c r="G459" s="111" t="s">
        <v>131</v>
      </c>
      <c r="H459" s="112">
        <v>238267</v>
      </c>
      <c r="I459" s="112">
        <v>251234</v>
      </c>
      <c r="J459" s="112">
        <v>266515</v>
      </c>
      <c r="K459" s="112">
        <v>304787</v>
      </c>
      <c r="L459" s="112">
        <v>346334</v>
      </c>
      <c r="M459" s="112">
        <v>342703</v>
      </c>
      <c r="N459" s="112">
        <v>414937</v>
      </c>
      <c r="O459" s="112">
        <v>455487</v>
      </c>
      <c r="P459" s="112">
        <v>470386</v>
      </c>
      <c r="R459" s="111" t="s">
        <v>131</v>
      </c>
      <c r="S459" s="220">
        <v>3.8</v>
      </c>
      <c r="T459" s="220">
        <v>3.9</v>
      </c>
      <c r="U459" s="220">
        <v>4.3</v>
      </c>
      <c r="V459" s="220">
        <v>3.5</v>
      </c>
      <c r="W459" s="220">
        <v>3.8</v>
      </c>
      <c r="X459" s="220">
        <v>4.3</v>
      </c>
      <c r="Y459" s="220">
        <v>3.7</v>
      </c>
      <c r="Z459" s="220">
        <v>2.9</v>
      </c>
      <c r="AA459" s="220">
        <v>2.8</v>
      </c>
      <c r="AC459" s="111" t="s">
        <v>131</v>
      </c>
      <c r="AD459" s="112">
        <f t="shared" si="457"/>
        <v>18108.292000000001</v>
      </c>
      <c r="AE459" s="112">
        <f t="shared" si="453"/>
        <v>19596.252</v>
      </c>
      <c r="AF459" s="112">
        <f t="shared" si="453"/>
        <v>22920.29</v>
      </c>
      <c r="AG459" s="112">
        <f t="shared" si="453"/>
        <v>21335.09</v>
      </c>
      <c r="AH459" s="112">
        <f t="shared" si="453"/>
        <v>26321.383999999998</v>
      </c>
      <c r="AI459" s="112">
        <f t="shared" si="453"/>
        <v>29472.457999999999</v>
      </c>
      <c r="AJ459" s="112">
        <f t="shared" si="453"/>
        <v>30705.338000000003</v>
      </c>
      <c r="AK459" s="112">
        <f t="shared" si="453"/>
        <v>26418.245999999999</v>
      </c>
      <c r="AL459" s="112">
        <f t="shared" si="453"/>
        <v>26341.615999999995</v>
      </c>
      <c r="AN459" s="111" t="s">
        <v>131</v>
      </c>
      <c r="AO459" s="113">
        <f t="shared" ref="AO459:AW459" si="470">H459/H455</f>
        <v>0.31872455067392225</v>
      </c>
      <c r="AP459" s="113">
        <f t="shared" si="470"/>
        <v>0.33921844493712078</v>
      </c>
      <c r="AQ459" s="113">
        <f t="shared" si="470"/>
        <v>0.36367072526734773</v>
      </c>
      <c r="AR459" s="113">
        <f t="shared" si="470"/>
        <v>0.39592651145027258</v>
      </c>
      <c r="AS459" s="113">
        <f t="shared" si="470"/>
        <v>0.43362267888153111</v>
      </c>
      <c r="AT459" s="113">
        <f t="shared" si="470"/>
        <v>0.41021985532904087</v>
      </c>
      <c r="AU459" s="113">
        <f t="shared" si="470"/>
        <v>0.4552628143024699</v>
      </c>
      <c r="AV459" s="113">
        <f t="shared" si="470"/>
        <v>0.44517148631901576</v>
      </c>
      <c r="AW459" s="113">
        <f t="shared" si="470"/>
        <v>0.46866879752586521</v>
      </c>
      <c r="AY459" s="111" t="s">
        <v>131</v>
      </c>
      <c r="AZ459" s="179">
        <f t="shared" si="455"/>
        <v>2.4223065851218091E-2</v>
      </c>
      <c r="BA459" s="179">
        <f t="shared" si="455"/>
        <v>2.645903870509542E-2</v>
      </c>
      <c r="BB459" s="179">
        <f t="shared" si="455"/>
        <v>3.12756823729919E-2</v>
      </c>
      <c r="BC459" s="179">
        <f t="shared" si="455"/>
        <v>2.771485580151908E-2</v>
      </c>
      <c r="BD459" s="179">
        <f t="shared" si="455"/>
        <v>3.2955323594996366E-2</v>
      </c>
      <c r="BE459" s="179">
        <f t="shared" si="455"/>
        <v>3.5278907558297518E-2</v>
      </c>
      <c r="BF459" s="179">
        <f t="shared" si="455"/>
        <v>3.368944825838277E-2</v>
      </c>
      <c r="BG459" s="179">
        <f t="shared" si="455"/>
        <v>2.5819946206502915E-2</v>
      </c>
      <c r="BH459" s="179">
        <f t="shared" si="455"/>
        <v>2.6245452661448451E-2</v>
      </c>
    </row>
    <row r="460" spans="2:68" s="87" customFormat="1" x14ac:dyDescent="0.25">
      <c r="B460" s="84"/>
      <c r="C460" s="85"/>
      <c r="D460" s="85"/>
      <c r="E460" s="109" t="s">
        <v>3</v>
      </c>
      <c r="F460" s="110" t="s">
        <v>75</v>
      </c>
      <c r="G460" s="195" t="s">
        <v>7</v>
      </c>
      <c r="H460" s="69">
        <v>649487</v>
      </c>
      <c r="I460" s="69">
        <v>717942</v>
      </c>
      <c r="J460" s="69">
        <v>782412</v>
      </c>
      <c r="K460" s="69">
        <v>864855</v>
      </c>
      <c r="L460" s="69">
        <v>928904</v>
      </c>
      <c r="M460" s="69">
        <v>977493</v>
      </c>
      <c r="N460" s="69">
        <v>1024282</v>
      </c>
      <c r="O460" s="69">
        <v>1059850</v>
      </c>
      <c r="P460" s="69">
        <v>1098494</v>
      </c>
      <c r="R460" s="195" t="s">
        <v>7</v>
      </c>
      <c r="S460" s="226">
        <v>0.9</v>
      </c>
      <c r="T460" s="226">
        <v>1</v>
      </c>
      <c r="U460" s="226">
        <v>0.8</v>
      </c>
      <c r="V460" s="226">
        <v>0.8</v>
      </c>
      <c r="W460" s="226">
        <v>1</v>
      </c>
      <c r="X460" s="226">
        <v>1.1000000000000001</v>
      </c>
      <c r="Y460" s="226">
        <v>1</v>
      </c>
      <c r="Z460" s="226">
        <v>0.8</v>
      </c>
      <c r="AA460" s="226">
        <v>0.9</v>
      </c>
      <c r="AC460" s="195" t="s">
        <v>7</v>
      </c>
      <c r="AD460" s="69">
        <f t="shared" si="457"/>
        <v>11690.766000000001</v>
      </c>
      <c r="AE460" s="69">
        <f t="shared" si="453"/>
        <v>14358.84</v>
      </c>
      <c r="AF460" s="69">
        <f t="shared" si="453"/>
        <v>12518.591999999999</v>
      </c>
      <c r="AG460" s="69">
        <f t="shared" si="453"/>
        <v>13837.68</v>
      </c>
      <c r="AH460" s="69">
        <f t="shared" si="453"/>
        <v>18578.080000000002</v>
      </c>
      <c r="AI460" s="69">
        <f t="shared" si="453"/>
        <v>21504.846000000001</v>
      </c>
      <c r="AJ460" s="69">
        <f t="shared" si="453"/>
        <v>20485.64</v>
      </c>
      <c r="AK460" s="69">
        <f t="shared" si="453"/>
        <v>16957.599999999999</v>
      </c>
      <c r="AL460" s="69">
        <f t="shared" si="453"/>
        <v>19772.892</v>
      </c>
      <c r="AN460" s="195" t="s">
        <v>7</v>
      </c>
      <c r="AO460" s="98">
        <f t="shared" ref="AO460:AW460" si="471">H460/H460</f>
        <v>1</v>
      </c>
      <c r="AP460" s="98">
        <f t="shared" si="471"/>
        <v>1</v>
      </c>
      <c r="AQ460" s="98">
        <f t="shared" si="471"/>
        <v>1</v>
      </c>
      <c r="AR460" s="98">
        <f t="shared" si="471"/>
        <v>1</v>
      </c>
      <c r="AS460" s="98">
        <f t="shared" si="471"/>
        <v>1</v>
      </c>
      <c r="AT460" s="98">
        <f t="shared" si="471"/>
        <v>1</v>
      </c>
      <c r="AU460" s="98">
        <f t="shared" si="471"/>
        <v>1</v>
      </c>
      <c r="AV460" s="98">
        <f t="shared" si="471"/>
        <v>1</v>
      </c>
      <c r="AW460" s="98">
        <f t="shared" si="471"/>
        <v>1</v>
      </c>
      <c r="AX460" s="191"/>
      <c r="AY460" s="195" t="s">
        <v>7</v>
      </c>
      <c r="AZ460" s="178">
        <f t="shared" si="455"/>
        <v>1.8000000000000002E-2</v>
      </c>
      <c r="BA460" s="178">
        <f t="shared" si="455"/>
        <v>0.02</v>
      </c>
      <c r="BB460" s="178">
        <f t="shared" si="455"/>
        <v>1.6E-2</v>
      </c>
      <c r="BC460" s="178">
        <f t="shared" si="455"/>
        <v>1.6E-2</v>
      </c>
      <c r="BD460" s="178">
        <f t="shared" si="455"/>
        <v>0.02</v>
      </c>
      <c r="BE460" s="178">
        <f t="shared" si="455"/>
        <v>2.2000000000000002E-2</v>
      </c>
      <c r="BF460" s="178">
        <f t="shared" si="455"/>
        <v>0.02</v>
      </c>
      <c r="BG460" s="178">
        <f t="shared" si="455"/>
        <v>1.6E-2</v>
      </c>
      <c r="BH460" s="178">
        <f t="shared" si="455"/>
        <v>1.8000000000000002E-2</v>
      </c>
      <c r="BI460" s="191"/>
      <c r="BJ460" s="191"/>
      <c r="BK460" s="191"/>
      <c r="BL460" s="191"/>
      <c r="BM460" s="191"/>
      <c r="BN460" s="191"/>
      <c r="BO460" s="191"/>
      <c r="BP460" s="191"/>
    </row>
    <row r="461" spans="2:68" s="108" customFormat="1" x14ac:dyDescent="0.25">
      <c r="B461" s="107"/>
      <c r="E461" s="109" t="s">
        <v>3</v>
      </c>
      <c r="F461" s="110" t="s">
        <v>75</v>
      </c>
      <c r="G461" s="111" t="s">
        <v>54</v>
      </c>
      <c r="H461" s="112">
        <v>179188</v>
      </c>
      <c r="I461" s="112">
        <v>163166</v>
      </c>
      <c r="J461" s="112">
        <v>178980</v>
      </c>
      <c r="K461" s="112">
        <v>196089</v>
      </c>
      <c r="L461" s="112">
        <v>233723</v>
      </c>
      <c r="M461" s="112">
        <v>229700</v>
      </c>
      <c r="N461" s="112">
        <v>210986</v>
      </c>
      <c r="O461" s="112">
        <v>223567</v>
      </c>
      <c r="P461" s="112">
        <v>196690</v>
      </c>
      <c r="R461" s="111" t="s">
        <v>54</v>
      </c>
      <c r="S461" s="220">
        <v>4.5</v>
      </c>
      <c r="T461" s="220">
        <v>5.3</v>
      </c>
      <c r="U461" s="220">
        <v>5.0999999999999996</v>
      </c>
      <c r="V461" s="220">
        <v>5.3</v>
      </c>
      <c r="W461" s="220">
        <v>4.7</v>
      </c>
      <c r="X461" s="220">
        <v>5.4</v>
      </c>
      <c r="Y461" s="220">
        <v>5.4</v>
      </c>
      <c r="Z461" s="220">
        <v>5</v>
      </c>
      <c r="AA461" s="220">
        <v>6.1</v>
      </c>
      <c r="AC461" s="111" t="s">
        <v>54</v>
      </c>
      <c r="AD461" s="112">
        <f t="shared" si="457"/>
        <v>16126.92</v>
      </c>
      <c r="AE461" s="112">
        <f t="shared" si="453"/>
        <v>17295.595999999998</v>
      </c>
      <c r="AF461" s="112">
        <f t="shared" si="453"/>
        <v>18255.96</v>
      </c>
      <c r="AG461" s="112">
        <f t="shared" si="453"/>
        <v>20785.433999999997</v>
      </c>
      <c r="AH461" s="112">
        <f t="shared" si="453"/>
        <v>21969.962000000003</v>
      </c>
      <c r="AI461" s="112">
        <f t="shared" si="453"/>
        <v>24807.599999999999</v>
      </c>
      <c r="AJ461" s="112">
        <f t="shared" si="453"/>
        <v>22786.488000000001</v>
      </c>
      <c r="AK461" s="112">
        <f t="shared" si="453"/>
        <v>22356.7</v>
      </c>
      <c r="AL461" s="112">
        <f t="shared" si="453"/>
        <v>23996.18</v>
      </c>
      <c r="AN461" s="111" t="s">
        <v>54</v>
      </c>
      <c r="AO461" s="113">
        <f t="shared" ref="AO461:AW461" si="472">H461/H460</f>
        <v>0.27589158828429206</v>
      </c>
      <c r="AP461" s="113">
        <f t="shared" si="472"/>
        <v>0.22726905516044471</v>
      </c>
      <c r="AQ461" s="113">
        <f t="shared" si="472"/>
        <v>0.22875416021226669</v>
      </c>
      <c r="AR461" s="113">
        <f t="shared" si="472"/>
        <v>0.22673049239467888</v>
      </c>
      <c r="AS461" s="113">
        <f t="shared" si="472"/>
        <v>0.25161157665377692</v>
      </c>
      <c r="AT461" s="113">
        <f t="shared" si="472"/>
        <v>0.2349888950611411</v>
      </c>
      <c r="AU461" s="113">
        <f t="shared" si="472"/>
        <v>0.20598428948277916</v>
      </c>
      <c r="AV461" s="113">
        <f t="shared" si="472"/>
        <v>0.21094211445015804</v>
      </c>
      <c r="AW461" s="113">
        <f t="shared" si="472"/>
        <v>0.17905423243094637</v>
      </c>
      <c r="AY461" s="111" t="s">
        <v>54</v>
      </c>
      <c r="AZ461" s="179">
        <f t="shared" si="455"/>
        <v>2.4830242945586285E-2</v>
      </c>
      <c r="BA461" s="179">
        <f t="shared" si="455"/>
        <v>2.4090519847007136E-2</v>
      </c>
      <c r="BB461" s="179">
        <f t="shared" si="455"/>
        <v>2.3332924341651198E-2</v>
      </c>
      <c r="BC461" s="179">
        <f t="shared" si="455"/>
        <v>2.4033432193835962E-2</v>
      </c>
      <c r="BD461" s="179">
        <f t="shared" si="455"/>
        <v>2.365148820545503E-2</v>
      </c>
      <c r="BE461" s="179">
        <f t="shared" si="455"/>
        <v>2.5378800666603238E-2</v>
      </c>
      <c r="BF461" s="179">
        <f t="shared" si="455"/>
        <v>2.2246303264140153E-2</v>
      </c>
      <c r="BG461" s="179">
        <f t="shared" si="455"/>
        <v>2.1094211445015804E-2</v>
      </c>
      <c r="BH461" s="179">
        <f t="shared" si="455"/>
        <v>2.1844616356575454E-2</v>
      </c>
    </row>
    <row r="462" spans="2:68" s="108" customFormat="1" x14ac:dyDescent="0.25">
      <c r="B462" s="107"/>
      <c r="E462" s="109" t="s">
        <v>3</v>
      </c>
      <c r="F462" s="110" t="s">
        <v>75</v>
      </c>
      <c r="G462" s="111" t="s">
        <v>55</v>
      </c>
      <c r="H462" s="70">
        <v>216838</v>
      </c>
      <c r="I462" s="70">
        <v>257173</v>
      </c>
      <c r="J462" s="70">
        <v>276969</v>
      </c>
      <c r="K462" s="70">
        <v>287314</v>
      </c>
      <c r="L462" s="70">
        <v>296906</v>
      </c>
      <c r="M462" s="112">
        <v>286892</v>
      </c>
      <c r="N462" s="112">
        <v>336007</v>
      </c>
      <c r="O462" s="112">
        <v>330479</v>
      </c>
      <c r="P462" s="112">
        <v>325977</v>
      </c>
      <c r="R462" s="111" t="s">
        <v>55</v>
      </c>
      <c r="S462" s="81">
        <v>4.3</v>
      </c>
      <c r="T462" s="81">
        <v>3.7</v>
      </c>
      <c r="U462" s="81">
        <v>3.7</v>
      </c>
      <c r="V462" s="81">
        <v>4</v>
      </c>
      <c r="W462" s="81">
        <v>4.7</v>
      </c>
      <c r="X462" s="81">
        <v>5.7</v>
      </c>
      <c r="Y462" s="81">
        <v>4.5999999999999996</v>
      </c>
      <c r="Z462" s="81">
        <v>3.5</v>
      </c>
      <c r="AA462" s="81">
        <v>3.9</v>
      </c>
      <c r="AC462" s="111" t="s">
        <v>55</v>
      </c>
      <c r="AD462" s="70">
        <f t="shared" si="457"/>
        <v>18648.067999999999</v>
      </c>
      <c r="AE462" s="70">
        <f t="shared" si="453"/>
        <v>19030.802000000003</v>
      </c>
      <c r="AF462" s="70">
        <f t="shared" si="453"/>
        <v>20495.706000000002</v>
      </c>
      <c r="AG462" s="70">
        <f t="shared" si="453"/>
        <v>22985.119999999999</v>
      </c>
      <c r="AH462" s="70">
        <f t="shared" si="453"/>
        <v>27909.164000000001</v>
      </c>
      <c r="AI462" s="70">
        <f t="shared" si="453"/>
        <v>32705.688000000002</v>
      </c>
      <c r="AJ462" s="70">
        <f t="shared" si="453"/>
        <v>30912.644</v>
      </c>
      <c r="AK462" s="70">
        <f t="shared" si="453"/>
        <v>23133.53</v>
      </c>
      <c r="AL462" s="70">
        <f t="shared" si="453"/>
        <v>25426.206000000002</v>
      </c>
      <c r="AN462" s="111" t="s">
        <v>55</v>
      </c>
      <c r="AO462" s="113">
        <f t="shared" ref="AO462:AW462" si="473">H462/H460</f>
        <v>0.33386041598985045</v>
      </c>
      <c r="AP462" s="113">
        <f t="shared" si="473"/>
        <v>0.35820860180905978</v>
      </c>
      <c r="AQ462" s="113">
        <f t="shared" si="473"/>
        <v>0.35399380377601569</v>
      </c>
      <c r="AR462" s="113">
        <f t="shared" si="473"/>
        <v>0.33221060177717654</v>
      </c>
      <c r="AS462" s="113">
        <f t="shared" si="473"/>
        <v>0.31963044620326753</v>
      </c>
      <c r="AT462" s="113">
        <f t="shared" si="473"/>
        <v>0.29349775394811012</v>
      </c>
      <c r="AU462" s="113">
        <f t="shared" si="473"/>
        <v>0.32804149638478464</v>
      </c>
      <c r="AV462" s="113">
        <f t="shared" si="473"/>
        <v>0.31181676652356466</v>
      </c>
      <c r="AW462" s="113">
        <f t="shared" si="473"/>
        <v>0.29674900363588697</v>
      </c>
      <c r="AY462" s="111" t="s">
        <v>55</v>
      </c>
      <c r="AZ462" s="179">
        <f t="shared" si="455"/>
        <v>2.871199577512714E-2</v>
      </c>
      <c r="BA462" s="179">
        <f t="shared" si="455"/>
        <v>2.6507436533870426E-2</v>
      </c>
      <c r="BB462" s="179">
        <f t="shared" si="455"/>
        <v>2.6195541479425166E-2</v>
      </c>
      <c r="BC462" s="179">
        <f t="shared" si="455"/>
        <v>2.6576848142174123E-2</v>
      </c>
      <c r="BD462" s="179">
        <f t="shared" si="455"/>
        <v>3.0045261943107148E-2</v>
      </c>
      <c r="BE462" s="179">
        <f t="shared" si="455"/>
        <v>3.3458743950084552E-2</v>
      </c>
      <c r="BF462" s="179">
        <f t="shared" si="455"/>
        <v>3.0179817667400185E-2</v>
      </c>
      <c r="BG462" s="179">
        <f t="shared" si="455"/>
        <v>2.1827173656649528E-2</v>
      </c>
      <c r="BH462" s="179">
        <f t="shared" si="455"/>
        <v>2.3146422283599182E-2</v>
      </c>
    </row>
    <row r="463" spans="2:68" s="108" customFormat="1" x14ac:dyDescent="0.25">
      <c r="B463" s="107"/>
      <c r="E463" s="109" t="s">
        <v>3</v>
      </c>
      <c r="F463" s="110" t="s">
        <v>75</v>
      </c>
      <c r="G463" s="111" t="s">
        <v>130</v>
      </c>
      <c r="H463" s="70">
        <v>74245</v>
      </c>
      <c r="I463" s="70">
        <v>85909</v>
      </c>
      <c r="J463" s="70">
        <v>88874</v>
      </c>
      <c r="K463" s="70">
        <v>102623</v>
      </c>
      <c r="L463" s="70">
        <v>103668</v>
      </c>
      <c r="M463" s="70">
        <v>127186</v>
      </c>
      <c r="N463" s="70">
        <v>124639</v>
      </c>
      <c r="O463" s="112">
        <v>146032</v>
      </c>
      <c r="P463" s="112">
        <v>155344</v>
      </c>
      <c r="R463" s="111" t="s">
        <v>130</v>
      </c>
      <c r="S463" s="220">
        <v>7.3</v>
      </c>
      <c r="T463" s="220">
        <v>7.7</v>
      </c>
      <c r="U463" s="220">
        <v>7.2</v>
      </c>
      <c r="V463" s="220">
        <v>7.2</v>
      </c>
      <c r="W463" s="220">
        <v>8.1</v>
      </c>
      <c r="X463" s="220">
        <v>8.1</v>
      </c>
      <c r="Y463" s="220">
        <v>9.1</v>
      </c>
      <c r="Z463" s="220">
        <v>6.7</v>
      </c>
      <c r="AA463" s="220">
        <v>6.2</v>
      </c>
      <c r="AC463" s="111" t="s">
        <v>130</v>
      </c>
      <c r="AD463" s="70">
        <f t="shared" si="457"/>
        <v>10839.77</v>
      </c>
      <c r="AE463" s="70">
        <f t="shared" si="453"/>
        <v>13229.986000000001</v>
      </c>
      <c r="AF463" s="70">
        <f t="shared" si="453"/>
        <v>12797.856000000002</v>
      </c>
      <c r="AG463" s="70">
        <f t="shared" si="453"/>
        <v>14777.712</v>
      </c>
      <c r="AH463" s="70">
        <f t="shared" si="453"/>
        <v>16794.216</v>
      </c>
      <c r="AI463" s="70">
        <f t="shared" si="453"/>
        <v>20604.131999999998</v>
      </c>
      <c r="AJ463" s="70">
        <f t="shared" si="453"/>
        <v>22684.297999999999</v>
      </c>
      <c r="AK463" s="70">
        <f t="shared" si="453"/>
        <v>19568.288</v>
      </c>
      <c r="AL463" s="70">
        <f t="shared" si="453"/>
        <v>19262.656000000003</v>
      </c>
      <c r="AN463" s="111" t="s">
        <v>130</v>
      </c>
      <c r="AO463" s="113">
        <f t="shared" ref="AO463:AW463" si="474">H463/H460</f>
        <v>0.1143132964940022</v>
      </c>
      <c r="AP463" s="113">
        <f t="shared" si="474"/>
        <v>0.11966008396221421</v>
      </c>
      <c r="AQ463" s="113">
        <f t="shared" si="474"/>
        <v>0.11358977111802988</v>
      </c>
      <c r="AR463" s="113">
        <f t="shared" si="474"/>
        <v>0.11865919720646814</v>
      </c>
      <c r="AS463" s="113">
        <f t="shared" si="474"/>
        <v>0.11160249067718515</v>
      </c>
      <c r="AT463" s="113">
        <f t="shared" si="474"/>
        <v>0.13011448675335782</v>
      </c>
      <c r="AU463" s="113">
        <f t="shared" si="474"/>
        <v>0.12168426273233347</v>
      </c>
      <c r="AV463" s="113">
        <f t="shared" si="474"/>
        <v>0.13778553568901258</v>
      </c>
      <c r="AW463" s="113">
        <f t="shared" si="474"/>
        <v>0.14141542875973834</v>
      </c>
      <c r="AY463" s="111" t="s">
        <v>130</v>
      </c>
      <c r="AZ463" s="179">
        <f t="shared" si="455"/>
        <v>1.6689741288124321E-2</v>
      </c>
      <c r="BA463" s="179">
        <f t="shared" si="455"/>
        <v>1.842765293018099E-2</v>
      </c>
      <c r="BB463" s="179">
        <f t="shared" si="455"/>
        <v>1.6356927040996304E-2</v>
      </c>
      <c r="BC463" s="179">
        <f t="shared" si="455"/>
        <v>1.7086924397731414E-2</v>
      </c>
      <c r="BD463" s="179">
        <f t="shared" si="455"/>
        <v>1.8079603489703996E-2</v>
      </c>
      <c r="BE463" s="179">
        <f t="shared" si="455"/>
        <v>2.1078546854043964E-2</v>
      </c>
      <c r="BF463" s="179">
        <f t="shared" si="455"/>
        <v>2.2146535817284693E-2</v>
      </c>
      <c r="BG463" s="179">
        <f t="shared" si="455"/>
        <v>1.8463261782327687E-2</v>
      </c>
      <c r="BH463" s="179">
        <f t="shared" si="455"/>
        <v>1.7535513166207554E-2</v>
      </c>
    </row>
    <row r="464" spans="2:68" s="108" customFormat="1" x14ac:dyDescent="0.25">
      <c r="B464" s="107"/>
      <c r="E464" s="109" t="s">
        <v>3</v>
      </c>
      <c r="F464" s="110" t="s">
        <v>75</v>
      </c>
      <c r="G464" s="111" t="s">
        <v>131</v>
      </c>
      <c r="H464" s="112">
        <v>179066</v>
      </c>
      <c r="I464" s="112">
        <v>211574</v>
      </c>
      <c r="J464" s="112">
        <v>236874</v>
      </c>
      <c r="K464" s="112">
        <v>277817</v>
      </c>
      <c r="L464" s="112">
        <v>294607</v>
      </c>
      <c r="M464" s="112">
        <v>333715</v>
      </c>
      <c r="N464" s="112">
        <v>352649</v>
      </c>
      <c r="O464" s="112">
        <v>359772</v>
      </c>
      <c r="P464" s="112">
        <v>420483</v>
      </c>
      <c r="R464" s="111" t="s">
        <v>131</v>
      </c>
      <c r="S464" s="220">
        <v>4.5</v>
      </c>
      <c r="T464" s="220">
        <v>4.5</v>
      </c>
      <c r="U464" s="220">
        <v>4.4000000000000004</v>
      </c>
      <c r="V464" s="220">
        <v>4</v>
      </c>
      <c r="W464" s="220">
        <v>3.8</v>
      </c>
      <c r="X464" s="220">
        <v>4.5999999999999996</v>
      </c>
      <c r="Y464" s="220">
        <v>3.9</v>
      </c>
      <c r="Z464" s="220">
        <v>3.4</v>
      </c>
      <c r="AA464" s="220">
        <v>3.2</v>
      </c>
      <c r="AC464" s="111" t="s">
        <v>131</v>
      </c>
      <c r="AD464" s="112">
        <f t="shared" si="457"/>
        <v>16115.94</v>
      </c>
      <c r="AE464" s="112">
        <f t="shared" si="453"/>
        <v>19041.66</v>
      </c>
      <c r="AF464" s="112">
        <f t="shared" si="453"/>
        <v>20844.912</v>
      </c>
      <c r="AG464" s="112">
        <f t="shared" si="453"/>
        <v>22225.360000000001</v>
      </c>
      <c r="AH464" s="112">
        <f t="shared" si="453"/>
        <v>22390.131999999998</v>
      </c>
      <c r="AI464" s="112">
        <f t="shared" si="453"/>
        <v>30701.779999999995</v>
      </c>
      <c r="AJ464" s="112">
        <f t="shared" si="453"/>
        <v>27506.621999999996</v>
      </c>
      <c r="AK464" s="112">
        <f t="shared" si="453"/>
        <v>24464.495999999999</v>
      </c>
      <c r="AL464" s="112">
        <f t="shared" si="453"/>
        <v>26910.912</v>
      </c>
      <c r="AN464" s="111" t="s">
        <v>131</v>
      </c>
      <c r="AO464" s="113">
        <f t="shared" ref="AO464:AW464" si="475">H464/H460</f>
        <v>0.27570374772705225</v>
      </c>
      <c r="AP464" s="113">
        <f t="shared" si="475"/>
        <v>0.29469511464714421</v>
      </c>
      <c r="AQ464" s="113">
        <f t="shared" si="475"/>
        <v>0.30274842410392477</v>
      </c>
      <c r="AR464" s="113">
        <f t="shared" si="475"/>
        <v>0.32122957027478594</v>
      </c>
      <c r="AS464" s="113">
        <f t="shared" si="475"/>
        <v>0.31715548646577041</v>
      </c>
      <c r="AT464" s="113">
        <f t="shared" si="475"/>
        <v>0.34139886423739096</v>
      </c>
      <c r="AU464" s="113">
        <f t="shared" si="475"/>
        <v>0.34428897510646483</v>
      </c>
      <c r="AV464" s="113">
        <f t="shared" si="475"/>
        <v>0.33945558333726472</v>
      </c>
      <c r="AW464" s="113">
        <f t="shared" si="475"/>
        <v>0.38278133517342833</v>
      </c>
      <c r="AY464" s="111" t="s">
        <v>131</v>
      </c>
      <c r="AZ464" s="179">
        <f t="shared" si="455"/>
        <v>2.4813337295434702E-2</v>
      </c>
      <c r="BA464" s="179">
        <f t="shared" si="455"/>
        <v>2.6522560318242978E-2</v>
      </c>
      <c r="BB464" s="179">
        <f t="shared" si="455"/>
        <v>2.6641861321145384E-2</v>
      </c>
      <c r="BC464" s="179">
        <f t="shared" si="455"/>
        <v>2.5698365621982876E-2</v>
      </c>
      <c r="BD464" s="179">
        <f t="shared" si="455"/>
        <v>2.4103816971398549E-2</v>
      </c>
      <c r="BE464" s="179">
        <f t="shared" si="455"/>
        <v>3.1408695509839962E-2</v>
      </c>
      <c r="BF464" s="179">
        <f t="shared" si="455"/>
        <v>2.6854540058304253E-2</v>
      </c>
      <c r="BG464" s="179">
        <f t="shared" si="455"/>
        <v>2.3082979666934001E-2</v>
      </c>
      <c r="BH464" s="179">
        <f t="shared" si="455"/>
        <v>2.4498005451099415E-2</v>
      </c>
    </row>
    <row r="465" spans="2:68" s="87" customFormat="1" x14ac:dyDescent="0.25">
      <c r="B465" s="84"/>
      <c r="C465" s="85"/>
      <c r="D465" s="85"/>
      <c r="E465" s="109" t="s">
        <v>45</v>
      </c>
      <c r="F465" s="110" t="s">
        <v>75</v>
      </c>
      <c r="G465" s="195" t="s">
        <v>7</v>
      </c>
      <c r="H465" s="69">
        <v>283189</v>
      </c>
      <c r="I465" s="69">
        <v>298373</v>
      </c>
      <c r="J465" s="69">
        <v>313431</v>
      </c>
      <c r="K465" s="69">
        <v>338796</v>
      </c>
      <c r="L465" s="69">
        <v>363010</v>
      </c>
      <c r="M465" s="69">
        <v>391756</v>
      </c>
      <c r="N465" s="69">
        <v>431116</v>
      </c>
      <c r="O465" s="69">
        <v>468955</v>
      </c>
      <c r="P465" s="69">
        <v>509838</v>
      </c>
      <c r="R465" s="195" t="s">
        <v>7</v>
      </c>
      <c r="S465" s="226">
        <v>1.3</v>
      </c>
      <c r="T465" s="226">
        <v>1.5</v>
      </c>
      <c r="U465" s="226">
        <v>1.3</v>
      </c>
      <c r="V465" s="226">
        <v>1.2</v>
      </c>
      <c r="W465" s="226">
        <v>1.4</v>
      </c>
      <c r="X465" s="226">
        <v>1.6</v>
      </c>
      <c r="Y465" s="226">
        <v>1.4</v>
      </c>
      <c r="Z465" s="226">
        <v>1.3</v>
      </c>
      <c r="AA465" s="226">
        <v>0.9</v>
      </c>
      <c r="AC465" s="195" t="s">
        <v>7</v>
      </c>
      <c r="AD465" s="69">
        <f t="shared" si="457"/>
        <v>7362.9140000000007</v>
      </c>
      <c r="AE465" s="69">
        <f t="shared" si="453"/>
        <v>8951.19</v>
      </c>
      <c r="AF465" s="69">
        <f t="shared" si="453"/>
        <v>8149.2060000000001</v>
      </c>
      <c r="AG465" s="69">
        <f t="shared" si="453"/>
        <v>8131.1040000000003</v>
      </c>
      <c r="AH465" s="69">
        <f t="shared" si="453"/>
        <v>10164.279999999999</v>
      </c>
      <c r="AI465" s="69">
        <f t="shared" si="453"/>
        <v>12536.191999999999</v>
      </c>
      <c r="AJ465" s="69">
        <f t="shared" si="453"/>
        <v>12071.247999999998</v>
      </c>
      <c r="AK465" s="69">
        <f t="shared" si="453"/>
        <v>12192.83</v>
      </c>
      <c r="AL465" s="69">
        <f t="shared" si="453"/>
        <v>9177.0840000000007</v>
      </c>
      <c r="AN465" s="195" t="s">
        <v>7</v>
      </c>
      <c r="AO465" s="98">
        <f t="shared" ref="AO465:AW465" si="476">H465/H465</f>
        <v>1</v>
      </c>
      <c r="AP465" s="98">
        <f t="shared" si="476"/>
        <v>1</v>
      </c>
      <c r="AQ465" s="98">
        <f t="shared" si="476"/>
        <v>1</v>
      </c>
      <c r="AR465" s="98">
        <f t="shared" si="476"/>
        <v>1</v>
      </c>
      <c r="AS465" s="98">
        <f t="shared" si="476"/>
        <v>1</v>
      </c>
      <c r="AT465" s="98">
        <f t="shared" si="476"/>
        <v>1</v>
      </c>
      <c r="AU465" s="98">
        <f t="shared" si="476"/>
        <v>1</v>
      </c>
      <c r="AV465" s="98">
        <f t="shared" si="476"/>
        <v>1</v>
      </c>
      <c r="AW465" s="98">
        <f t="shared" si="476"/>
        <v>1</v>
      </c>
      <c r="AX465" s="191"/>
      <c r="AY465" s="195" t="s">
        <v>7</v>
      </c>
      <c r="AZ465" s="178">
        <f t="shared" si="455"/>
        <v>2.6000000000000002E-2</v>
      </c>
      <c r="BA465" s="178">
        <f t="shared" si="455"/>
        <v>0.03</v>
      </c>
      <c r="BB465" s="178">
        <f t="shared" si="455"/>
        <v>2.6000000000000002E-2</v>
      </c>
      <c r="BC465" s="178">
        <f t="shared" si="455"/>
        <v>2.4E-2</v>
      </c>
      <c r="BD465" s="178">
        <f t="shared" si="455"/>
        <v>2.7999999999999997E-2</v>
      </c>
      <c r="BE465" s="178">
        <f t="shared" si="455"/>
        <v>3.2000000000000001E-2</v>
      </c>
      <c r="BF465" s="178">
        <f t="shared" si="455"/>
        <v>2.7999999999999997E-2</v>
      </c>
      <c r="BG465" s="178">
        <f t="shared" si="455"/>
        <v>2.6000000000000002E-2</v>
      </c>
      <c r="BH465" s="178">
        <f t="shared" si="455"/>
        <v>1.8000000000000002E-2</v>
      </c>
      <c r="BI465" s="191"/>
      <c r="BJ465" s="191"/>
      <c r="BK465" s="191"/>
      <c r="BL465" s="191"/>
      <c r="BM465" s="191"/>
      <c r="BN465" s="191"/>
      <c r="BO465" s="191"/>
      <c r="BP465" s="191"/>
    </row>
    <row r="466" spans="2:68" s="108" customFormat="1" x14ac:dyDescent="0.25">
      <c r="B466" s="107"/>
      <c r="E466" s="109" t="s">
        <v>45</v>
      </c>
      <c r="F466" s="110" t="s">
        <v>75</v>
      </c>
      <c r="G466" s="111" t="s">
        <v>54</v>
      </c>
      <c r="H466" s="112">
        <v>36773</v>
      </c>
      <c r="I466" s="112">
        <v>34874</v>
      </c>
      <c r="J466" s="112">
        <v>37852</v>
      </c>
      <c r="K466" s="112">
        <v>38794</v>
      </c>
      <c r="L466" s="112">
        <v>42396</v>
      </c>
      <c r="M466" s="112">
        <v>43178</v>
      </c>
      <c r="N466" s="112">
        <v>48482</v>
      </c>
      <c r="O466" s="112">
        <v>51607</v>
      </c>
      <c r="P466" s="112">
        <v>46213</v>
      </c>
      <c r="R466" s="111" t="s">
        <v>54</v>
      </c>
      <c r="S466" s="220">
        <v>10.3</v>
      </c>
      <c r="T466" s="220">
        <v>12.6</v>
      </c>
      <c r="U466" s="220">
        <v>12.5</v>
      </c>
      <c r="V466" s="220">
        <v>12.5</v>
      </c>
      <c r="W466" s="220">
        <v>13.1</v>
      </c>
      <c r="X466" s="220">
        <v>14.4</v>
      </c>
      <c r="Y466" s="220">
        <v>13.9</v>
      </c>
      <c r="Z466" s="220">
        <v>10.6</v>
      </c>
      <c r="AA466" s="220">
        <v>11.7</v>
      </c>
      <c r="AC466" s="111" t="s">
        <v>54</v>
      </c>
      <c r="AD466" s="112">
        <f t="shared" si="457"/>
        <v>7575.2380000000003</v>
      </c>
      <c r="AE466" s="112">
        <f t="shared" si="453"/>
        <v>8788.2479999999996</v>
      </c>
      <c r="AF466" s="112">
        <f t="shared" si="453"/>
        <v>9463</v>
      </c>
      <c r="AG466" s="112">
        <f t="shared" si="453"/>
        <v>9698.5</v>
      </c>
      <c r="AH466" s="112">
        <f t="shared" si="453"/>
        <v>11107.752</v>
      </c>
      <c r="AI466" s="112">
        <f t="shared" si="453"/>
        <v>12435.264000000001</v>
      </c>
      <c r="AJ466" s="112">
        <f t="shared" si="453"/>
        <v>13477.996000000001</v>
      </c>
      <c r="AK466" s="112">
        <f t="shared" si="453"/>
        <v>10940.683999999999</v>
      </c>
      <c r="AL466" s="112">
        <f t="shared" si="453"/>
        <v>10813.841999999999</v>
      </c>
      <c r="AN466" s="111" t="s">
        <v>54</v>
      </c>
      <c r="AO466" s="113">
        <f t="shared" ref="AO466:AW466" si="477">H466/H465</f>
        <v>0.12985320757515298</v>
      </c>
      <c r="AP466" s="113">
        <f t="shared" si="477"/>
        <v>0.11688054884322643</v>
      </c>
      <c r="AQ466" s="113">
        <f t="shared" si="477"/>
        <v>0.12076661210920425</v>
      </c>
      <c r="AR466" s="113">
        <f t="shared" si="477"/>
        <v>0.11450548412614081</v>
      </c>
      <c r="AS466" s="113">
        <f t="shared" si="477"/>
        <v>0.11679017106966751</v>
      </c>
      <c r="AT466" s="113">
        <f t="shared" si="477"/>
        <v>0.11021656337107792</v>
      </c>
      <c r="AU466" s="113">
        <f t="shared" si="477"/>
        <v>0.11245697213742938</v>
      </c>
      <c r="AV466" s="113">
        <f t="shared" si="477"/>
        <v>0.11004680619675662</v>
      </c>
      <c r="AW466" s="113">
        <f t="shared" si="477"/>
        <v>9.0642517819385759E-2</v>
      </c>
      <c r="AY466" s="111" t="s">
        <v>54</v>
      </c>
      <c r="AZ466" s="179">
        <f t="shared" si="455"/>
        <v>2.6749760760481512E-2</v>
      </c>
      <c r="BA466" s="179">
        <f t="shared" si="455"/>
        <v>2.9453898308493057E-2</v>
      </c>
      <c r="BB466" s="179">
        <f t="shared" si="455"/>
        <v>3.0191653027301063E-2</v>
      </c>
      <c r="BC466" s="179">
        <f t="shared" si="455"/>
        <v>2.8626371031535203E-2</v>
      </c>
      <c r="BD466" s="179">
        <f t="shared" si="455"/>
        <v>3.0599024820252885E-2</v>
      </c>
      <c r="BE466" s="179">
        <f t="shared" si="455"/>
        <v>3.1742370250870441E-2</v>
      </c>
      <c r="BF466" s="179">
        <f t="shared" si="455"/>
        <v>3.1263038254205372E-2</v>
      </c>
      <c r="BG466" s="179">
        <f t="shared" si="455"/>
        <v>2.3329922913712404E-2</v>
      </c>
      <c r="BH466" s="179">
        <f t="shared" si="455"/>
        <v>2.1210349169736267E-2</v>
      </c>
    </row>
    <row r="467" spans="2:68" s="108" customFormat="1" x14ac:dyDescent="0.25">
      <c r="B467" s="107"/>
      <c r="E467" s="109" t="s">
        <v>45</v>
      </c>
      <c r="F467" s="110" t="s">
        <v>75</v>
      </c>
      <c r="G467" s="111" t="s">
        <v>55</v>
      </c>
      <c r="H467" s="70">
        <v>120579</v>
      </c>
      <c r="I467" s="70">
        <v>127691</v>
      </c>
      <c r="J467" s="70">
        <v>129666</v>
      </c>
      <c r="K467" s="70">
        <v>149902</v>
      </c>
      <c r="L467" s="70">
        <v>155696</v>
      </c>
      <c r="M467" s="112">
        <v>163897</v>
      </c>
      <c r="N467" s="112">
        <v>177781</v>
      </c>
      <c r="O467" s="112">
        <v>188741</v>
      </c>
      <c r="P467" s="112">
        <v>229830</v>
      </c>
      <c r="R467" s="111" t="s">
        <v>55</v>
      </c>
      <c r="S467" s="81">
        <v>5</v>
      </c>
      <c r="T467" s="81">
        <v>5.6</v>
      </c>
      <c r="U467" s="81">
        <v>5</v>
      </c>
      <c r="V467" s="81">
        <v>5.2</v>
      </c>
      <c r="W467" s="81">
        <v>4.7</v>
      </c>
      <c r="X467" s="81">
        <v>6.1</v>
      </c>
      <c r="Y467" s="81">
        <v>6.1</v>
      </c>
      <c r="Z467" s="81">
        <v>5</v>
      </c>
      <c r="AA467" s="81">
        <v>4.4000000000000004</v>
      </c>
      <c r="AC467" s="111" t="s">
        <v>55</v>
      </c>
      <c r="AD467" s="70">
        <f t="shared" si="457"/>
        <v>12057.9</v>
      </c>
      <c r="AE467" s="70">
        <f t="shared" si="453"/>
        <v>14301.392</v>
      </c>
      <c r="AF467" s="70">
        <f t="shared" si="453"/>
        <v>12966.6</v>
      </c>
      <c r="AG467" s="70">
        <f t="shared" si="453"/>
        <v>15589.808000000001</v>
      </c>
      <c r="AH467" s="70">
        <f t="shared" si="453"/>
        <v>14635.424000000001</v>
      </c>
      <c r="AI467" s="70">
        <f t="shared" si="453"/>
        <v>19995.433999999997</v>
      </c>
      <c r="AJ467" s="70">
        <f t="shared" si="453"/>
        <v>21689.281999999996</v>
      </c>
      <c r="AK467" s="70">
        <f t="shared" si="453"/>
        <v>18874.099999999999</v>
      </c>
      <c r="AL467" s="70">
        <f t="shared" si="453"/>
        <v>20225.04</v>
      </c>
      <c r="AN467" s="111" t="s">
        <v>55</v>
      </c>
      <c r="AO467" s="113">
        <f t="shared" ref="AO467:AW467" si="478">H467/H465</f>
        <v>0.42578984353205812</v>
      </c>
      <c r="AP467" s="113">
        <f t="shared" si="478"/>
        <v>0.42795762351151079</v>
      </c>
      <c r="AQ467" s="113">
        <f t="shared" si="478"/>
        <v>0.41369870880672299</v>
      </c>
      <c r="AR467" s="113">
        <f t="shared" si="478"/>
        <v>0.44245504669476615</v>
      </c>
      <c r="AS467" s="113">
        <f t="shared" si="478"/>
        <v>0.42890278504724388</v>
      </c>
      <c r="AT467" s="113">
        <f t="shared" si="478"/>
        <v>0.41836500270576582</v>
      </c>
      <c r="AU467" s="113">
        <f t="shared" si="478"/>
        <v>0.41237393184201004</v>
      </c>
      <c r="AV467" s="113">
        <f t="shared" si="478"/>
        <v>0.40247145248478</v>
      </c>
      <c r="AW467" s="113">
        <f t="shared" si="478"/>
        <v>0.45079025102091252</v>
      </c>
      <c r="AY467" s="111" t="s">
        <v>55</v>
      </c>
      <c r="AZ467" s="179">
        <f t="shared" si="455"/>
        <v>4.2578984353205812E-2</v>
      </c>
      <c r="BA467" s="179">
        <f t="shared" si="455"/>
        <v>4.7931253833289202E-2</v>
      </c>
      <c r="BB467" s="179">
        <f t="shared" si="455"/>
        <v>4.1369870880672295E-2</v>
      </c>
      <c r="BC467" s="179">
        <f t="shared" si="455"/>
        <v>4.6015324856255681E-2</v>
      </c>
      <c r="BD467" s="179">
        <f t="shared" si="455"/>
        <v>4.0316861794440932E-2</v>
      </c>
      <c r="BE467" s="179">
        <f t="shared" si="455"/>
        <v>5.1040530330103424E-2</v>
      </c>
      <c r="BF467" s="179">
        <f t="shared" si="455"/>
        <v>5.0309619684725221E-2</v>
      </c>
      <c r="BG467" s="179">
        <f t="shared" si="455"/>
        <v>4.0247145248478E-2</v>
      </c>
      <c r="BH467" s="179">
        <f t="shared" si="455"/>
        <v>3.9669542089840304E-2</v>
      </c>
    </row>
    <row r="468" spans="2:68" s="108" customFormat="1" x14ac:dyDescent="0.25">
      <c r="B468" s="107"/>
      <c r="E468" s="109" t="s">
        <v>45</v>
      </c>
      <c r="F468" s="110" t="s">
        <v>75</v>
      </c>
      <c r="G468" s="111" t="s">
        <v>130</v>
      </c>
      <c r="H468" s="70">
        <v>27938</v>
      </c>
      <c r="I468" s="70">
        <v>35227</v>
      </c>
      <c r="J468" s="70">
        <v>34565</v>
      </c>
      <c r="K468" s="70">
        <v>32826</v>
      </c>
      <c r="L468" s="70">
        <v>38804</v>
      </c>
      <c r="M468" s="70">
        <v>49445</v>
      </c>
      <c r="N468" s="70">
        <v>55643</v>
      </c>
      <c r="O468" s="112">
        <v>63871</v>
      </c>
      <c r="P468" s="112">
        <v>54466</v>
      </c>
      <c r="R468" s="111" t="s">
        <v>130</v>
      </c>
      <c r="S468" s="220">
        <v>12.2</v>
      </c>
      <c r="T468" s="220">
        <v>11.7</v>
      </c>
      <c r="U468" s="220">
        <v>12.5</v>
      </c>
      <c r="V468" s="220">
        <v>13.1</v>
      </c>
      <c r="W468" s="220">
        <v>13.7</v>
      </c>
      <c r="X468" s="220">
        <v>13.5</v>
      </c>
      <c r="Y468" s="220">
        <v>12.3</v>
      </c>
      <c r="Z468" s="220">
        <v>9.6999999999999993</v>
      </c>
      <c r="AA468" s="220">
        <v>10.8</v>
      </c>
      <c r="AC468" s="111" t="s">
        <v>130</v>
      </c>
      <c r="AD468" s="70">
        <f t="shared" si="457"/>
        <v>6816.8719999999994</v>
      </c>
      <c r="AE468" s="70">
        <f t="shared" si="453"/>
        <v>8243.1179999999986</v>
      </c>
      <c r="AF468" s="70">
        <f t="shared" si="453"/>
        <v>8641.25</v>
      </c>
      <c r="AG468" s="70">
        <f t="shared" si="453"/>
        <v>8600.4120000000003</v>
      </c>
      <c r="AH468" s="70">
        <f t="shared" si="453"/>
        <v>10632.295999999998</v>
      </c>
      <c r="AI468" s="70">
        <f t="shared" si="453"/>
        <v>13350.15</v>
      </c>
      <c r="AJ468" s="70">
        <f t="shared" si="453"/>
        <v>13688.178</v>
      </c>
      <c r="AK468" s="70">
        <f t="shared" si="453"/>
        <v>12390.973999999998</v>
      </c>
      <c r="AL468" s="70">
        <f t="shared" si="453"/>
        <v>11764.656000000001</v>
      </c>
      <c r="AN468" s="111" t="s">
        <v>130</v>
      </c>
      <c r="AO468" s="113">
        <f t="shared" ref="AO468:AW468" si="479">H468/H465</f>
        <v>9.8654961880581524E-2</v>
      </c>
      <c r="AP468" s="113">
        <f t="shared" si="479"/>
        <v>0.11806363176292761</v>
      </c>
      <c r="AQ468" s="113">
        <f t="shared" si="479"/>
        <v>0.11027945544633429</v>
      </c>
      <c r="AR468" s="113">
        <f t="shared" si="479"/>
        <v>9.6890163992491063E-2</v>
      </c>
      <c r="AS468" s="113">
        <f t="shared" si="479"/>
        <v>0.10689512685600948</v>
      </c>
      <c r="AT468" s="113">
        <f t="shared" si="479"/>
        <v>0.1262137657113101</v>
      </c>
      <c r="AU468" s="113">
        <f t="shared" si="479"/>
        <v>0.12906735078261999</v>
      </c>
      <c r="AV468" s="113">
        <f t="shared" si="479"/>
        <v>0.13619856915908776</v>
      </c>
      <c r="AW468" s="113">
        <f t="shared" si="479"/>
        <v>0.10683001267069148</v>
      </c>
      <c r="AY468" s="111" t="s">
        <v>130</v>
      </c>
      <c r="AZ468" s="179">
        <f t="shared" si="455"/>
        <v>2.4071810698861888E-2</v>
      </c>
      <c r="BA468" s="179">
        <f t="shared" si="455"/>
        <v>2.7626889832525058E-2</v>
      </c>
      <c r="BB468" s="179">
        <f t="shared" si="455"/>
        <v>2.7569863861583572E-2</v>
      </c>
      <c r="BC468" s="179">
        <f t="shared" si="455"/>
        <v>2.5385222966032659E-2</v>
      </c>
      <c r="BD468" s="179">
        <f t="shared" si="455"/>
        <v>2.9289264758546592E-2</v>
      </c>
      <c r="BE468" s="179">
        <f t="shared" si="455"/>
        <v>3.4077716742053725E-2</v>
      </c>
      <c r="BF468" s="179">
        <f t="shared" si="455"/>
        <v>3.1750568292524518E-2</v>
      </c>
      <c r="BG468" s="179">
        <f t="shared" si="455"/>
        <v>2.6422522416863027E-2</v>
      </c>
      <c r="BH468" s="179">
        <f t="shared" si="455"/>
        <v>2.3075282736869363E-2</v>
      </c>
    </row>
    <row r="469" spans="2:68" s="108" customFormat="1" x14ac:dyDescent="0.25">
      <c r="B469" s="107"/>
      <c r="E469" s="109" t="s">
        <v>45</v>
      </c>
      <c r="F469" s="110" t="s">
        <v>75</v>
      </c>
      <c r="G469" s="111" t="s">
        <v>131</v>
      </c>
      <c r="H469" s="112">
        <v>97639</v>
      </c>
      <c r="I469" s="112">
        <v>99975</v>
      </c>
      <c r="J469" s="112">
        <v>110997</v>
      </c>
      <c r="K469" s="112">
        <v>116637</v>
      </c>
      <c r="L469" s="112">
        <v>126114</v>
      </c>
      <c r="M469" s="112">
        <v>135235</v>
      </c>
      <c r="N469" s="112">
        <v>149210</v>
      </c>
      <c r="O469" s="112">
        <v>164736</v>
      </c>
      <c r="P469" s="112">
        <v>179329</v>
      </c>
      <c r="R469" s="111" t="s">
        <v>131</v>
      </c>
      <c r="S469" s="220">
        <v>5.3</v>
      </c>
      <c r="T469" s="220">
        <v>6.3</v>
      </c>
      <c r="U469" s="220">
        <v>6</v>
      </c>
      <c r="V469" s="220">
        <v>6.3</v>
      </c>
      <c r="W469" s="220">
        <v>6.2</v>
      </c>
      <c r="X469" s="220">
        <v>6.3</v>
      </c>
      <c r="Y469" s="220">
        <v>6.9</v>
      </c>
      <c r="Z469" s="220">
        <v>5.2</v>
      </c>
      <c r="AA469" s="220">
        <v>5.3</v>
      </c>
      <c r="AC469" s="111" t="s">
        <v>131</v>
      </c>
      <c r="AD469" s="112">
        <f t="shared" si="457"/>
        <v>10349.734</v>
      </c>
      <c r="AE469" s="112">
        <f t="shared" si="453"/>
        <v>12596.85</v>
      </c>
      <c r="AF469" s="112">
        <f t="shared" si="453"/>
        <v>13319.64</v>
      </c>
      <c r="AG469" s="112">
        <f t="shared" si="453"/>
        <v>14696.261999999999</v>
      </c>
      <c r="AH469" s="112">
        <f t="shared" si="453"/>
        <v>15638.136</v>
      </c>
      <c r="AI469" s="112">
        <f t="shared" si="453"/>
        <v>17039.61</v>
      </c>
      <c r="AJ469" s="112">
        <f t="shared" si="453"/>
        <v>20590.98</v>
      </c>
      <c r="AK469" s="112">
        <f t="shared" si="453"/>
        <v>17132.544000000002</v>
      </c>
      <c r="AL469" s="112">
        <f t="shared" si="453"/>
        <v>19008.874</v>
      </c>
      <c r="AN469" s="111" t="s">
        <v>131</v>
      </c>
      <c r="AO469" s="113">
        <f t="shared" ref="AO469:AW469" si="480">H469/H465</f>
        <v>0.34478387225492518</v>
      </c>
      <c r="AP469" s="113">
        <f t="shared" si="480"/>
        <v>0.3350671810116867</v>
      </c>
      <c r="AQ469" s="113">
        <f t="shared" si="480"/>
        <v>0.35413535993567963</v>
      </c>
      <c r="AR469" s="113">
        <f t="shared" si="480"/>
        <v>0.34426911769914637</v>
      </c>
      <c r="AS469" s="113">
        <f t="shared" si="480"/>
        <v>0.34741191702707913</v>
      </c>
      <c r="AT469" s="113">
        <f t="shared" si="480"/>
        <v>0.34520211560256897</v>
      </c>
      <c r="AU469" s="113">
        <f t="shared" si="480"/>
        <v>0.34610174523794063</v>
      </c>
      <c r="AV469" s="113">
        <f t="shared" si="480"/>
        <v>0.35128317215937566</v>
      </c>
      <c r="AW469" s="113">
        <f t="shared" si="480"/>
        <v>0.35173721848901024</v>
      </c>
      <c r="AY469" s="111" t="s">
        <v>131</v>
      </c>
      <c r="AZ469" s="179">
        <f t="shared" si="455"/>
        <v>3.6547090459022068E-2</v>
      </c>
      <c r="BA469" s="179">
        <f t="shared" si="455"/>
        <v>4.2218464807472517E-2</v>
      </c>
      <c r="BB469" s="179">
        <f t="shared" si="455"/>
        <v>4.2496243192281555E-2</v>
      </c>
      <c r="BC469" s="179">
        <f t="shared" si="455"/>
        <v>4.3377908830092446E-2</v>
      </c>
      <c r="BD469" s="179">
        <f t="shared" si="455"/>
        <v>4.3079077711357813E-2</v>
      </c>
      <c r="BE469" s="179">
        <f t="shared" si="455"/>
        <v>4.3495466565923693E-2</v>
      </c>
      <c r="BF469" s="179">
        <f t="shared" si="455"/>
        <v>4.7762040842835807E-2</v>
      </c>
      <c r="BG469" s="179">
        <f t="shared" si="455"/>
        <v>3.653344990457507E-2</v>
      </c>
      <c r="BH469" s="179">
        <f t="shared" si="455"/>
        <v>3.728414515983508E-2</v>
      </c>
    </row>
    <row r="470" spans="2:68" s="87" customFormat="1" x14ac:dyDescent="0.25">
      <c r="B470" s="84"/>
      <c r="C470" s="85"/>
      <c r="D470" s="85"/>
      <c r="E470" s="109" t="s">
        <v>46</v>
      </c>
      <c r="F470" s="110" t="s">
        <v>75</v>
      </c>
      <c r="G470" s="195" t="s">
        <v>7</v>
      </c>
      <c r="H470" s="69">
        <v>2481569</v>
      </c>
      <c r="I470" s="69">
        <v>2604210</v>
      </c>
      <c r="J470" s="69">
        <v>2686119</v>
      </c>
      <c r="K470" s="69">
        <v>2899266</v>
      </c>
      <c r="L470" s="69">
        <v>3042617</v>
      </c>
      <c r="M470" s="69">
        <v>3166822</v>
      </c>
      <c r="N470" s="69">
        <v>3358680</v>
      </c>
      <c r="O470" s="69">
        <v>3496663</v>
      </c>
      <c r="P470" s="69">
        <v>3578490</v>
      </c>
      <c r="R470" s="195" t="s">
        <v>7</v>
      </c>
      <c r="S470" s="226">
        <v>0.2</v>
      </c>
      <c r="T470" s="226">
        <v>0.5</v>
      </c>
      <c r="U470" s="226">
        <v>0.2</v>
      </c>
      <c r="V470" s="226">
        <v>0.5</v>
      </c>
      <c r="W470" s="226">
        <v>0.6</v>
      </c>
      <c r="X470" s="226">
        <v>0.7</v>
      </c>
      <c r="Y470" s="226">
        <v>0.2</v>
      </c>
      <c r="Z470" s="226">
        <v>0.2</v>
      </c>
      <c r="AA470" s="226">
        <v>0.2</v>
      </c>
      <c r="AC470" s="195" t="s">
        <v>7</v>
      </c>
      <c r="AD470" s="69">
        <f t="shared" si="457"/>
        <v>9926.2760000000017</v>
      </c>
      <c r="AE470" s="69">
        <f t="shared" si="453"/>
        <v>26042.1</v>
      </c>
      <c r="AF470" s="69">
        <f t="shared" si="453"/>
        <v>10744.476000000001</v>
      </c>
      <c r="AG470" s="69">
        <f t="shared" si="453"/>
        <v>28992.66</v>
      </c>
      <c r="AH470" s="69">
        <f t="shared" si="453"/>
        <v>36511.404000000002</v>
      </c>
      <c r="AI470" s="69">
        <f t="shared" si="453"/>
        <v>44335.508000000002</v>
      </c>
      <c r="AJ470" s="69">
        <f t="shared" si="453"/>
        <v>13434.72</v>
      </c>
      <c r="AK470" s="69">
        <f t="shared" si="453"/>
        <v>13986.652000000002</v>
      </c>
      <c r="AL470" s="69">
        <f t="shared" si="453"/>
        <v>14313.96</v>
      </c>
      <c r="AN470" s="195" t="s">
        <v>7</v>
      </c>
      <c r="AO470" s="98">
        <f t="shared" ref="AO470:AW470" si="481">H470/H470</f>
        <v>1</v>
      </c>
      <c r="AP470" s="98">
        <f t="shared" si="481"/>
        <v>1</v>
      </c>
      <c r="AQ470" s="98">
        <f t="shared" si="481"/>
        <v>1</v>
      </c>
      <c r="AR470" s="98">
        <f t="shared" si="481"/>
        <v>1</v>
      </c>
      <c r="AS470" s="98">
        <f t="shared" si="481"/>
        <v>1</v>
      </c>
      <c r="AT470" s="98">
        <f t="shared" si="481"/>
        <v>1</v>
      </c>
      <c r="AU470" s="98">
        <f t="shared" si="481"/>
        <v>1</v>
      </c>
      <c r="AV470" s="98">
        <f t="shared" si="481"/>
        <v>1</v>
      </c>
      <c r="AW470" s="98">
        <f t="shared" si="481"/>
        <v>1</v>
      </c>
      <c r="AX470" s="191"/>
      <c r="AY470" s="195" t="s">
        <v>7</v>
      </c>
      <c r="AZ470" s="178">
        <f t="shared" si="455"/>
        <v>4.0000000000000001E-3</v>
      </c>
      <c r="BA470" s="178">
        <f t="shared" si="455"/>
        <v>0.01</v>
      </c>
      <c r="BB470" s="178">
        <f t="shared" si="455"/>
        <v>4.0000000000000001E-3</v>
      </c>
      <c r="BC470" s="178">
        <f t="shared" si="455"/>
        <v>0.01</v>
      </c>
      <c r="BD470" s="178">
        <f t="shared" si="455"/>
        <v>1.2E-2</v>
      </c>
      <c r="BE470" s="178">
        <f t="shared" si="455"/>
        <v>1.3999999999999999E-2</v>
      </c>
      <c r="BF470" s="178">
        <f t="shared" si="455"/>
        <v>4.0000000000000001E-3</v>
      </c>
      <c r="BG470" s="178">
        <f t="shared" si="455"/>
        <v>4.0000000000000001E-3</v>
      </c>
      <c r="BH470" s="178">
        <f t="shared" si="455"/>
        <v>4.0000000000000001E-3</v>
      </c>
      <c r="BI470" s="191"/>
      <c r="BJ470" s="191"/>
      <c r="BK470" s="191"/>
      <c r="BL470" s="191"/>
      <c r="BM470" s="191"/>
      <c r="BN470" s="191"/>
      <c r="BO470" s="191"/>
      <c r="BP470" s="191"/>
    </row>
    <row r="471" spans="2:68" s="108" customFormat="1" x14ac:dyDescent="0.25">
      <c r="B471" s="107"/>
      <c r="E471" s="109" t="s">
        <v>46</v>
      </c>
      <c r="F471" s="110" t="s">
        <v>75</v>
      </c>
      <c r="G471" s="111" t="s">
        <v>54</v>
      </c>
      <c r="H471" s="112">
        <v>685371</v>
      </c>
      <c r="I471" s="112">
        <v>595408</v>
      </c>
      <c r="J471" s="112">
        <v>611054</v>
      </c>
      <c r="K471" s="112">
        <v>645075</v>
      </c>
      <c r="L471" s="112">
        <v>697650</v>
      </c>
      <c r="M471" s="112">
        <v>682549</v>
      </c>
      <c r="N471" s="112">
        <v>658272</v>
      </c>
      <c r="O471" s="112">
        <v>642047</v>
      </c>
      <c r="P471" s="112">
        <v>586696</v>
      </c>
      <c r="R471" s="111" t="s">
        <v>54</v>
      </c>
      <c r="S471" s="220">
        <v>0.8</v>
      </c>
      <c r="T471" s="220">
        <v>0.8</v>
      </c>
      <c r="U471" s="220">
        <v>2.2000000000000002</v>
      </c>
      <c r="V471" s="220">
        <v>3</v>
      </c>
      <c r="W471" s="220">
        <v>2.7</v>
      </c>
      <c r="X471" s="220">
        <v>3.7</v>
      </c>
      <c r="Y471" s="220">
        <v>3.8</v>
      </c>
      <c r="Z471" s="220">
        <v>1.2</v>
      </c>
      <c r="AA471" s="220">
        <v>1.3</v>
      </c>
      <c r="AC471" s="111" t="s">
        <v>54</v>
      </c>
      <c r="AD471" s="112">
        <f t="shared" si="457"/>
        <v>10965.936000000002</v>
      </c>
      <c r="AE471" s="112">
        <f t="shared" si="453"/>
        <v>9526.5280000000002</v>
      </c>
      <c r="AF471" s="112">
        <f t="shared" si="453"/>
        <v>26886.376</v>
      </c>
      <c r="AG471" s="112">
        <f t="shared" si="453"/>
        <v>38704.5</v>
      </c>
      <c r="AH471" s="112">
        <f t="shared" si="453"/>
        <v>37673.100000000006</v>
      </c>
      <c r="AI471" s="112">
        <f t="shared" si="453"/>
        <v>50508.626000000004</v>
      </c>
      <c r="AJ471" s="112">
        <f t="shared" si="453"/>
        <v>50028.671999999999</v>
      </c>
      <c r="AK471" s="112">
        <f t="shared" si="453"/>
        <v>15409.128000000001</v>
      </c>
      <c r="AL471" s="112">
        <f t="shared" si="453"/>
        <v>15254.096000000001</v>
      </c>
      <c r="AN471" s="111" t="s">
        <v>54</v>
      </c>
      <c r="AO471" s="113">
        <f t="shared" ref="AO471:AW471" si="482">H471/H470</f>
        <v>0.27618454292425476</v>
      </c>
      <c r="AP471" s="113">
        <f t="shared" si="482"/>
        <v>0.22863286754908399</v>
      </c>
      <c r="AQ471" s="113">
        <f t="shared" si="482"/>
        <v>0.2274858262050192</v>
      </c>
      <c r="AR471" s="113">
        <f t="shared" si="482"/>
        <v>0.22249596966956464</v>
      </c>
      <c r="AS471" s="113">
        <f t="shared" si="482"/>
        <v>0.2292927437137175</v>
      </c>
      <c r="AT471" s="113">
        <f t="shared" si="482"/>
        <v>0.21553121710029802</v>
      </c>
      <c r="AU471" s="113">
        <f t="shared" si="482"/>
        <v>0.19599128228947085</v>
      </c>
      <c r="AV471" s="113">
        <f t="shared" si="482"/>
        <v>0.18361706575669431</v>
      </c>
      <c r="AW471" s="113">
        <f t="shared" si="482"/>
        <v>0.16395071664305336</v>
      </c>
      <c r="AY471" s="111" t="s">
        <v>54</v>
      </c>
      <c r="AZ471" s="179">
        <f t="shared" si="455"/>
        <v>4.4189526867880764E-3</v>
      </c>
      <c r="BA471" s="179">
        <f t="shared" si="455"/>
        <v>3.6581258807853439E-3</v>
      </c>
      <c r="BB471" s="179">
        <f t="shared" si="455"/>
        <v>1.0009376353020844E-2</v>
      </c>
      <c r="BC471" s="179">
        <f t="shared" si="455"/>
        <v>1.3349758180173879E-2</v>
      </c>
      <c r="BD471" s="179">
        <f t="shared" si="455"/>
        <v>1.2381808160540747E-2</v>
      </c>
      <c r="BE471" s="179">
        <f t="shared" si="455"/>
        <v>1.5949310065422054E-2</v>
      </c>
      <c r="BF471" s="179">
        <f t="shared" si="455"/>
        <v>1.4895337453999784E-2</v>
      </c>
      <c r="BG471" s="179">
        <f t="shared" si="455"/>
        <v>4.4068095781606637E-3</v>
      </c>
      <c r="BH471" s="179">
        <f t="shared" si="455"/>
        <v>4.2627186327193868E-3</v>
      </c>
    </row>
    <row r="472" spans="2:68" s="108" customFormat="1" x14ac:dyDescent="0.25">
      <c r="B472" s="107"/>
      <c r="E472" s="109" t="s">
        <v>46</v>
      </c>
      <c r="F472" s="110" t="s">
        <v>75</v>
      </c>
      <c r="G472" s="111" t="s">
        <v>55</v>
      </c>
      <c r="H472" s="70">
        <v>558095</v>
      </c>
      <c r="I472" s="70">
        <v>653553</v>
      </c>
      <c r="J472" s="70">
        <v>644886</v>
      </c>
      <c r="K472" s="70">
        <v>691476</v>
      </c>
      <c r="L472" s="70">
        <v>690060</v>
      </c>
      <c r="M472" s="112">
        <v>696012</v>
      </c>
      <c r="N472" s="112">
        <v>765485</v>
      </c>
      <c r="O472" s="112">
        <v>793553</v>
      </c>
      <c r="P472" s="112">
        <v>807530</v>
      </c>
      <c r="R472" s="111" t="s">
        <v>55</v>
      </c>
      <c r="S472" s="81">
        <v>0.8</v>
      </c>
      <c r="T472" s="81">
        <v>0.8</v>
      </c>
      <c r="U472" s="81">
        <v>2.2000000000000002</v>
      </c>
      <c r="V472" s="81">
        <v>3</v>
      </c>
      <c r="W472" s="81">
        <v>2.7</v>
      </c>
      <c r="X472" s="81">
        <v>3</v>
      </c>
      <c r="Y472" s="81">
        <v>2.6</v>
      </c>
      <c r="Z472" s="81">
        <v>1</v>
      </c>
      <c r="AA472" s="81">
        <v>1</v>
      </c>
      <c r="AC472" s="111" t="s">
        <v>55</v>
      </c>
      <c r="AD472" s="70">
        <f t="shared" si="457"/>
        <v>8929.52</v>
      </c>
      <c r="AE472" s="70">
        <f t="shared" si="453"/>
        <v>10456.848</v>
      </c>
      <c r="AF472" s="70">
        <f t="shared" si="453"/>
        <v>28374.984000000004</v>
      </c>
      <c r="AG472" s="70">
        <f t="shared" si="453"/>
        <v>41488.559999999998</v>
      </c>
      <c r="AH472" s="70">
        <f t="shared" si="453"/>
        <v>37263.240000000005</v>
      </c>
      <c r="AI472" s="70">
        <f t="shared" si="453"/>
        <v>41760.720000000001</v>
      </c>
      <c r="AJ472" s="70">
        <f t="shared" si="453"/>
        <v>39805.22</v>
      </c>
      <c r="AK472" s="70">
        <f t="shared" si="453"/>
        <v>15871.06</v>
      </c>
      <c r="AL472" s="70">
        <f t="shared" si="453"/>
        <v>16150.6</v>
      </c>
      <c r="AN472" s="111" t="s">
        <v>55</v>
      </c>
      <c r="AO472" s="113">
        <f t="shared" ref="AO472:AW472" si="483">H472/H470</f>
        <v>0.2248960234432329</v>
      </c>
      <c r="AP472" s="113">
        <f t="shared" si="483"/>
        <v>0.25096017602267096</v>
      </c>
      <c r="AQ472" s="113">
        <f t="shared" si="483"/>
        <v>0.24008094950372638</v>
      </c>
      <c r="AR472" s="113">
        <f t="shared" si="483"/>
        <v>0.2385003652648636</v>
      </c>
      <c r="AS472" s="113">
        <f t="shared" si="483"/>
        <v>0.22679818064514856</v>
      </c>
      <c r="AT472" s="113">
        <f t="shared" si="483"/>
        <v>0.21978248224876548</v>
      </c>
      <c r="AU472" s="113">
        <f t="shared" si="483"/>
        <v>0.22791245370204963</v>
      </c>
      <c r="AV472" s="113">
        <f t="shared" si="483"/>
        <v>0.22694580518625901</v>
      </c>
      <c r="AW472" s="113">
        <f t="shared" si="483"/>
        <v>0.22566222065731636</v>
      </c>
      <c r="AY472" s="111" t="s">
        <v>55</v>
      </c>
      <c r="AZ472" s="179">
        <f t="shared" si="455"/>
        <v>3.5983363750917265E-3</v>
      </c>
      <c r="BA472" s="179">
        <f t="shared" si="455"/>
        <v>4.015362816362735E-3</v>
      </c>
      <c r="BB472" s="179">
        <f t="shared" si="455"/>
        <v>1.0563561778163961E-2</v>
      </c>
      <c r="BC472" s="179">
        <f t="shared" si="455"/>
        <v>1.4310021915891815E-2</v>
      </c>
      <c r="BD472" s="179">
        <f t="shared" si="455"/>
        <v>1.2247101754838024E-2</v>
      </c>
      <c r="BE472" s="179">
        <f t="shared" si="455"/>
        <v>1.3186948934925929E-2</v>
      </c>
      <c r="BF472" s="179">
        <f t="shared" si="455"/>
        <v>1.1851447592506581E-2</v>
      </c>
      <c r="BG472" s="179">
        <f t="shared" si="455"/>
        <v>4.53891610372518E-3</v>
      </c>
      <c r="BH472" s="179">
        <f t="shared" si="455"/>
        <v>4.5132444131463275E-3</v>
      </c>
    </row>
    <row r="473" spans="2:68" s="108" customFormat="1" x14ac:dyDescent="0.25">
      <c r="B473" s="107"/>
      <c r="E473" s="109" t="s">
        <v>46</v>
      </c>
      <c r="F473" s="110" t="s">
        <v>75</v>
      </c>
      <c r="G473" s="111" t="s">
        <v>130</v>
      </c>
      <c r="H473" s="70">
        <v>314043</v>
      </c>
      <c r="I473" s="70">
        <v>345653</v>
      </c>
      <c r="J473" s="70">
        <v>331652</v>
      </c>
      <c r="K473" s="70">
        <v>334552</v>
      </c>
      <c r="L473" s="70">
        <v>354983</v>
      </c>
      <c r="M473" s="70">
        <v>403697</v>
      </c>
      <c r="N473" s="70">
        <v>411182</v>
      </c>
      <c r="O473" s="112">
        <v>475299</v>
      </c>
      <c r="P473" s="112">
        <v>452955</v>
      </c>
      <c r="R473" s="111" t="s">
        <v>130</v>
      </c>
      <c r="S473" s="220">
        <v>1.1000000000000001</v>
      </c>
      <c r="T473" s="220">
        <v>1.2</v>
      </c>
      <c r="U473" s="220">
        <v>1.2</v>
      </c>
      <c r="V473" s="220">
        <v>3.5</v>
      </c>
      <c r="W473" s="220">
        <v>4.2</v>
      </c>
      <c r="X473" s="220">
        <v>4.2</v>
      </c>
      <c r="Y473" s="220">
        <v>4.3</v>
      </c>
      <c r="Z473" s="220">
        <v>1.6</v>
      </c>
      <c r="AA473" s="220">
        <v>1.6</v>
      </c>
      <c r="AC473" s="111" t="s">
        <v>130</v>
      </c>
      <c r="AD473" s="70">
        <f t="shared" si="457"/>
        <v>6908.9460000000008</v>
      </c>
      <c r="AE473" s="70">
        <f t="shared" si="453"/>
        <v>8295.6719999999987</v>
      </c>
      <c r="AF473" s="70">
        <f t="shared" si="453"/>
        <v>7959.6479999999992</v>
      </c>
      <c r="AG473" s="70">
        <f t="shared" si="453"/>
        <v>23418.639999999999</v>
      </c>
      <c r="AH473" s="70">
        <f t="shared" si="453"/>
        <v>29818.572</v>
      </c>
      <c r="AI473" s="70">
        <f t="shared" si="453"/>
        <v>33910.548000000003</v>
      </c>
      <c r="AJ473" s="70">
        <f t="shared" si="453"/>
        <v>35361.651999999995</v>
      </c>
      <c r="AK473" s="70">
        <f t="shared" si="453"/>
        <v>15209.568000000001</v>
      </c>
      <c r="AL473" s="70">
        <f t="shared" si="453"/>
        <v>14494.56</v>
      </c>
      <c r="AN473" s="111" t="s">
        <v>130</v>
      </c>
      <c r="AO473" s="113">
        <f t="shared" ref="AO473:AW473" si="484">H473/H470</f>
        <v>0.12655017853624059</v>
      </c>
      <c r="AP473" s="113">
        <f t="shared" si="484"/>
        <v>0.13272854339703788</v>
      </c>
      <c r="AQ473" s="113">
        <f t="shared" si="484"/>
        <v>0.12346884110495476</v>
      </c>
      <c r="AR473" s="113">
        <f t="shared" si="484"/>
        <v>0.11539196472486485</v>
      </c>
      <c r="AS473" s="113">
        <f t="shared" si="484"/>
        <v>0.11667028745320229</v>
      </c>
      <c r="AT473" s="113">
        <f t="shared" si="484"/>
        <v>0.12747701007508475</v>
      </c>
      <c r="AU473" s="113">
        <f t="shared" si="484"/>
        <v>0.12242369025926852</v>
      </c>
      <c r="AV473" s="113">
        <f t="shared" si="484"/>
        <v>0.13592931317659152</v>
      </c>
      <c r="AW473" s="113">
        <f t="shared" si="484"/>
        <v>0.12657713169521223</v>
      </c>
      <c r="AY473" s="111" t="s">
        <v>130</v>
      </c>
      <c r="AZ473" s="179">
        <f t="shared" si="455"/>
        <v>2.7841039277972934E-3</v>
      </c>
      <c r="BA473" s="179">
        <f t="shared" si="455"/>
        <v>3.1854850415289088E-3</v>
      </c>
      <c r="BB473" s="179">
        <f t="shared" si="455"/>
        <v>2.9632521865189144E-3</v>
      </c>
      <c r="BC473" s="179">
        <f t="shared" ref="BC473:BH484" si="485">2*(V473*AR473/100)</f>
        <v>8.0774375307405381E-3</v>
      </c>
      <c r="BD473" s="179">
        <f t="shared" si="485"/>
        <v>9.800304146068993E-3</v>
      </c>
      <c r="BE473" s="179">
        <f t="shared" si="485"/>
        <v>1.0708068846307119E-2</v>
      </c>
      <c r="BF473" s="179">
        <f t="shared" si="485"/>
        <v>1.0528437362297091E-2</v>
      </c>
      <c r="BG473" s="179">
        <f t="shared" si="485"/>
        <v>4.3497380216509281E-3</v>
      </c>
      <c r="BH473" s="179">
        <f t="shared" si="485"/>
        <v>4.050468214246792E-3</v>
      </c>
    </row>
    <row r="474" spans="2:68" s="108" customFormat="1" x14ac:dyDescent="0.25">
      <c r="B474" s="107"/>
      <c r="E474" s="109" t="s">
        <v>46</v>
      </c>
      <c r="F474" s="110" t="s">
        <v>75</v>
      </c>
      <c r="G474" s="111" t="s">
        <v>131</v>
      </c>
      <c r="H474" s="112">
        <v>914379</v>
      </c>
      <c r="I474" s="112">
        <v>987138</v>
      </c>
      <c r="J474" s="112">
        <v>1087422</v>
      </c>
      <c r="K474" s="112">
        <v>1212941</v>
      </c>
      <c r="L474" s="112">
        <v>1290391</v>
      </c>
      <c r="M474" s="112">
        <v>1372301</v>
      </c>
      <c r="N474" s="112">
        <v>1512549</v>
      </c>
      <c r="O474" s="112">
        <v>1585764</v>
      </c>
      <c r="P474" s="112">
        <v>1731308</v>
      </c>
      <c r="R474" s="111" t="s">
        <v>131</v>
      </c>
      <c r="S474" s="220">
        <v>0.6</v>
      </c>
      <c r="T474" s="220">
        <v>0.6</v>
      </c>
      <c r="U474" s="220">
        <v>1</v>
      </c>
      <c r="V474" s="220">
        <v>1.9</v>
      </c>
      <c r="W474" s="220">
        <v>1.6</v>
      </c>
      <c r="X474" s="220">
        <v>2.4</v>
      </c>
      <c r="Y474" s="220">
        <v>1.5</v>
      </c>
      <c r="Z474" s="220">
        <v>0.6</v>
      </c>
      <c r="AA474" s="220">
        <v>0.6</v>
      </c>
      <c r="AC474" s="111" t="s">
        <v>131</v>
      </c>
      <c r="AD474" s="112">
        <f t="shared" si="457"/>
        <v>10972.548000000001</v>
      </c>
      <c r="AE474" s="112">
        <f t="shared" si="453"/>
        <v>11845.655999999999</v>
      </c>
      <c r="AF474" s="112">
        <f t="shared" si="453"/>
        <v>21748.44</v>
      </c>
      <c r="AG474" s="112">
        <f t="shared" si="453"/>
        <v>46091.758000000002</v>
      </c>
      <c r="AH474" s="112">
        <f t="shared" si="453"/>
        <v>41292.512000000002</v>
      </c>
      <c r="AI474" s="112">
        <f t="shared" si="453"/>
        <v>65870.448000000004</v>
      </c>
      <c r="AJ474" s="112">
        <f t="shared" si="453"/>
        <v>45376.47</v>
      </c>
      <c r="AK474" s="112">
        <f t="shared" si="453"/>
        <v>19029.167999999998</v>
      </c>
      <c r="AL474" s="112">
        <f t="shared" si="453"/>
        <v>20775.696</v>
      </c>
      <c r="AN474" s="111" t="s">
        <v>131</v>
      </c>
      <c r="AO474" s="113">
        <f t="shared" ref="AO474:AW474" si="486">H474/H470</f>
        <v>0.3684680941775143</v>
      </c>
      <c r="AP474" s="113">
        <f t="shared" si="486"/>
        <v>0.37905468453004942</v>
      </c>
      <c r="AQ474" s="113">
        <f t="shared" si="486"/>
        <v>0.4048301657521502</v>
      </c>
      <c r="AR474" s="113">
        <f t="shared" si="486"/>
        <v>0.41836140595585225</v>
      </c>
      <c r="AS474" s="113">
        <f t="shared" si="486"/>
        <v>0.42410563012038649</v>
      </c>
      <c r="AT474" s="113">
        <f t="shared" si="486"/>
        <v>0.43333695420835144</v>
      </c>
      <c r="AU474" s="113">
        <f t="shared" si="486"/>
        <v>0.45034031226553289</v>
      </c>
      <c r="AV474" s="113">
        <f t="shared" si="486"/>
        <v>0.45350781588045519</v>
      </c>
      <c r="AW474" s="113">
        <f t="shared" si="486"/>
        <v>0.48380965155694161</v>
      </c>
      <c r="AY474" s="111" t="s">
        <v>131</v>
      </c>
      <c r="AZ474" s="179">
        <f t="shared" ref="AZ474:BB484" si="487">2*(S474*AO474/100)</f>
        <v>4.4216171301301715E-3</v>
      </c>
      <c r="BA474" s="179">
        <f t="shared" si="487"/>
        <v>4.5486562143605934E-3</v>
      </c>
      <c r="BB474" s="179">
        <f t="shared" si="487"/>
        <v>8.0966033150430047E-3</v>
      </c>
      <c r="BC474" s="179">
        <f t="shared" si="485"/>
        <v>1.5897733426322384E-2</v>
      </c>
      <c r="BD474" s="179">
        <f t="shared" si="485"/>
        <v>1.3571380163852368E-2</v>
      </c>
      <c r="BE474" s="179">
        <f t="shared" si="485"/>
        <v>2.0800173802000867E-2</v>
      </c>
      <c r="BF474" s="179">
        <f t="shared" si="485"/>
        <v>1.3510209367965986E-2</v>
      </c>
      <c r="BG474" s="179">
        <f t="shared" si="485"/>
        <v>5.4420937905654623E-3</v>
      </c>
      <c r="BH474" s="179">
        <f t="shared" si="485"/>
        <v>5.8057158186832995E-3</v>
      </c>
    </row>
    <row r="475" spans="2:68" s="87" customFormat="1" x14ac:dyDescent="0.25">
      <c r="B475" s="84"/>
      <c r="C475" s="85"/>
      <c r="D475" s="85"/>
      <c r="E475" s="109" t="s">
        <v>4</v>
      </c>
      <c r="F475" s="110" t="s">
        <v>75</v>
      </c>
      <c r="G475" s="195" t="s">
        <v>7</v>
      </c>
      <c r="H475" s="69">
        <v>1248618</v>
      </c>
      <c r="I475" s="69">
        <v>1310038</v>
      </c>
      <c r="J475" s="69">
        <v>1351451</v>
      </c>
      <c r="K475" s="69">
        <v>1467328</v>
      </c>
      <c r="L475" s="69">
        <v>1549909</v>
      </c>
      <c r="M475" s="69">
        <v>1612789</v>
      </c>
      <c r="N475" s="69">
        <v>1706411</v>
      </c>
      <c r="O475" s="69">
        <v>1775836</v>
      </c>
      <c r="P475" s="69">
        <v>1807638</v>
      </c>
      <c r="R475" s="195" t="s">
        <v>7</v>
      </c>
      <c r="S475" s="226">
        <v>0.2</v>
      </c>
      <c r="T475" s="226">
        <v>0.2</v>
      </c>
      <c r="U475" s="226">
        <v>0.2</v>
      </c>
      <c r="V475" s="226">
        <v>0.6</v>
      </c>
      <c r="W475" s="226">
        <v>0.7</v>
      </c>
      <c r="X475" s="226">
        <v>0.8</v>
      </c>
      <c r="Y475" s="226">
        <v>0.2</v>
      </c>
      <c r="Z475" s="226">
        <v>0.2</v>
      </c>
      <c r="AA475" s="226">
        <v>0.2</v>
      </c>
      <c r="AC475" s="195" t="s">
        <v>7</v>
      </c>
      <c r="AD475" s="69">
        <f t="shared" si="457"/>
        <v>4994.4719999999998</v>
      </c>
      <c r="AE475" s="69">
        <f t="shared" si="453"/>
        <v>5240.152</v>
      </c>
      <c r="AF475" s="69">
        <f t="shared" si="453"/>
        <v>5405.8040000000001</v>
      </c>
      <c r="AG475" s="69">
        <f t="shared" si="453"/>
        <v>17607.935999999998</v>
      </c>
      <c r="AH475" s="69">
        <f t="shared" si="453"/>
        <v>21698.726000000002</v>
      </c>
      <c r="AI475" s="69">
        <f t="shared" si="453"/>
        <v>25804.624000000003</v>
      </c>
      <c r="AJ475" s="69">
        <f t="shared" si="453"/>
        <v>6825.6440000000002</v>
      </c>
      <c r="AK475" s="69">
        <f t="shared" si="453"/>
        <v>7103.3440000000001</v>
      </c>
      <c r="AL475" s="69">
        <f t="shared" si="453"/>
        <v>7230.5520000000006</v>
      </c>
      <c r="AN475" s="195" t="s">
        <v>7</v>
      </c>
      <c r="AO475" s="98">
        <f t="shared" ref="AO475:AW475" si="488">H475/H475</f>
        <v>1</v>
      </c>
      <c r="AP475" s="98">
        <f t="shared" si="488"/>
        <v>1</v>
      </c>
      <c r="AQ475" s="98">
        <f t="shared" si="488"/>
        <v>1</v>
      </c>
      <c r="AR475" s="98">
        <f t="shared" si="488"/>
        <v>1</v>
      </c>
      <c r="AS475" s="98">
        <f t="shared" si="488"/>
        <v>1</v>
      </c>
      <c r="AT475" s="98">
        <f t="shared" si="488"/>
        <v>1</v>
      </c>
      <c r="AU475" s="98">
        <f t="shared" si="488"/>
        <v>1</v>
      </c>
      <c r="AV475" s="98">
        <f t="shared" si="488"/>
        <v>1</v>
      </c>
      <c r="AW475" s="98">
        <f t="shared" si="488"/>
        <v>1</v>
      </c>
      <c r="AX475" s="191"/>
      <c r="AY475" s="195" t="s">
        <v>7</v>
      </c>
      <c r="AZ475" s="178">
        <f t="shared" si="487"/>
        <v>4.0000000000000001E-3</v>
      </c>
      <c r="BA475" s="178">
        <f t="shared" si="487"/>
        <v>4.0000000000000001E-3</v>
      </c>
      <c r="BB475" s="178">
        <f t="shared" si="487"/>
        <v>4.0000000000000001E-3</v>
      </c>
      <c r="BC475" s="178">
        <f t="shared" si="485"/>
        <v>1.2E-2</v>
      </c>
      <c r="BD475" s="178">
        <f t="shared" si="485"/>
        <v>1.3999999999999999E-2</v>
      </c>
      <c r="BE475" s="178">
        <f t="shared" si="485"/>
        <v>1.6E-2</v>
      </c>
      <c r="BF475" s="178">
        <f t="shared" si="485"/>
        <v>4.0000000000000001E-3</v>
      </c>
      <c r="BG475" s="178">
        <f t="shared" si="485"/>
        <v>4.0000000000000001E-3</v>
      </c>
      <c r="BH475" s="178">
        <f t="shared" si="485"/>
        <v>4.0000000000000001E-3</v>
      </c>
      <c r="BI475" s="191"/>
      <c r="BJ475" s="191"/>
      <c r="BK475" s="191"/>
      <c r="BL475" s="191"/>
      <c r="BM475" s="191"/>
      <c r="BN475" s="191"/>
      <c r="BO475" s="191"/>
      <c r="BP475" s="191"/>
    </row>
    <row r="476" spans="2:68" s="108" customFormat="1" x14ac:dyDescent="0.25">
      <c r="B476" s="107"/>
      <c r="E476" s="109" t="s">
        <v>4</v>
      </c>
      <c r="F476" s="110" t="s">
        <v>75</v>
      </c>
      <c r="G476" s="111" t="s">
        <v>54</v>
      </c>
      <c r="H476" s="112">
        <v>370810</v>
      </c>
      <c r="I476" s="112">
        <v>322838</v>
      </c>
      <c r="J476" s="112">
        <v>344530</v>
      </c>
      <c r="K476" s="112">
        <v>368105</v>
      </c>
      <c r="L476" s="112">
        <v>410985</v>
      </c>
      <c r="M476" s="112">
        <v>395734</v>
      </c>
      <c r="N476" s="112">
        <v>390684</v>
      </c>
      <c r="O476" s="112">
        <v>372872</v>
      </c>
      <c r="P476" s="112">
        <v>363417</v>
      </c>
      <c r="R476" s="111" t="s">
        <v>54</v>
      </c>
      <c r="S476" s="220">
        <v>1.1000000000000001</v>
      </c>
      <c r="T476" s="220">
        <v>1.2</v>
      </c>
      <c r="U476" s="220">
        <v>3.5</v>
      </c>
      <c r="V476" s="220">
        <v>3.5</v>
      </c>
      <c r="W476" s="220">
        <v>3.7</v>
      </c>
      <c r="X476" s="220">
        <v>4.4000000000000004</v>
      </c>
      <c r="Y476" s="220">
        <v>4.5999999999999996</v>
      </c>
      <c r="Z476" s="220">
        <v>2</v>
      </c>
      <c r="AA476" s="220">
        <v>1.9</v>
      </c>
      <c r="AC476" s="111" t="s">
        <v>54</v>
      </c>
      <c r="AD476" s="112">
        <f t="shared" si="457"/>
        <v>8157.8200000000015</v>
      </c>
      <c r="AE476" s="112">
        <f t="shared" si="453"/>
        <v>7748.1119999999992</v>
      </c>
      <c r="AF476" s="112">
        <f t="shared" si="453"/>
        <v>24117.1</v>
      </c>
      <c r="AG476" s="112">
        <f t="shared" si="453"/>
        <v>25767.35</v>
      </c>
      <c r="AH476" s="112">
        <f t="shared" si="453"/>
        <v>30412.89</v>
      </c>
      <c r="AI476" s="112">
        <f t="shared" si="453"/>
        <v>34824.592000000004</v>
      </c>
      <c r="AJ476" s="112">
        <f t="shared" si="453"/>
        <v>35942.928</v>
      </c>
      <c r="AK476" s="112">
        <f t="shared" si="453"/>
        <v>14914.88</v>
      </c>
      <c r="AL476" s="112">
        <f t="shared" si="453"/>
        <v>13809.845999999998</v>
      </c>
      <c r="AN476" s="111" t="s">
        <v>54</v>
      </c>
      <c r="AO476" s="113">
        <f t="shared" ref="AO476:AW476" si="489">H476/H475</f>
        <v>0.29697633703822945</v>
      </c>
      <c r="AP476" s="113">
        <f t="shared" si="489"/>
        <v>0.24643407290475544</v>
      </c>
      <c r="AQ476" s="113">
        <f t="shared" si="489"/>
        <v>0.25493340121099473</v>
      </c>
      <c r="AR476" s="113">
        <f t="shared" si="489"/>
        <v>0.25086756335325161</v>
      </c>
      <c r="AS476" s="113">
        <f t="shared" si="489"/>
        <v>0.26516718078287177</v>
      </c>
      <c r="AT476" s="113">
        <f t="shared" si="489"/>
        <v>0.24537245727742438</v>
      </c>
      <c r="AU476" s="113">
        <f t="shared" si="489"/>
        <v>0.2289507041386864</v>
      </c>
      <c r="AV476" s="113">
        <f t="shared" si="489"/>
        <v>0.20996983955725643</v>
      </c>
      <c r="AW476" s="113">
        <f t="shared" si="489"/>
        <v>0.20104523140141997</v>
      </c>
      <c r="AY476" s="111" t="s">
        <v>54</v>
      </c>
      <c r="AZ476" s="179">
        <f t="shared" si="487"/>
        <v>6.5334794148410478E-3</v>
      </c>
      <c r="BA476" s="179">
        <f t="shared" si="487"/>
        <v>5.9144177497141301E-3</v>
      </c>
      <c r="BB476" s="179">
        <f t="shared" si="487"/>
        <v>1.7845338084769631E-2</v>
      </c>
      <c r="BC476" s="179">
        <f t="shared" si="485"/>
        <v>1.7560729434727612E-2</v>
      </c>
      <c r="BD476" s="179">
        <f t="shared" si="485"/>
        <v>1.9622371377932511E-2</v>
      </c>
      <c r="BE476" s="179">
        <f t="shared" si="485"/>
        <v>2.1592776240413347E-2</v>
      </c>
      <c r="BF476" s="179">
        <f t="shared" si="485"/>
        <v>2.1063464780759145E-2</v>
      </c>
      <c r="BG476" s="179">
        <f t="shared" si="485"/>
        <v>8.3987935822902576E-3</v>
      </c>
      <c r="BH476" s="179">
        <f t="shared" si="485"/>
        <v>7.6397187932539593E-3</v>
      </c>
    </row>
    <row r="477" spans="2:68" s="108" customFormat="1" x14ac:dyDescent="0.25">
      <c r="B477" s="107"/>
      <c r="E477" s="109" t="s">
        <v>4</v>
      </c>
      <c r="F477" s="110" t="s">
        <v>75</v>
      </c>
      <c r="G477" s="111" t="s">
        <v>55</v>
      </c>
      <c r="H477" s="70">
        <v>307920</v>
      </c>
      <c r="I477" s="70">
        <v>366189</v>
      </c>
      <c r="J477" s="70">
        <v>342980</v>
      </c>
      <c r="K477" s="70">
        <v>377574</v>
      </c>
      <c r="L477" s="70">
        <v>385711</v>
      </c>
      <c r="M477" s="112">
        <v>388497</v>
      </c>
      <c r="N477" s="112">
        <v>410948</v>
      </c>
      <c r="O477" s="112">
        <v>436669</v>
      </c>
      <c r="P477" s="112">
        <v>453604</v>
      </c>
      <c r="R477" s="111" t="s">
        <v>55</v>
      </c>
      <c r="S477" s="81">
        <v>1.1000000000000001</v>
      </c>
      <c r="T477" s="81">
        <v>1.2</v>
      </c>
      <c r="U477" s="81">
        <v>3.5</v>
      </c>
      <c r="V477" s="81">
        <v>3.5</v>
      </c>
      <c r="W477" s="81">
        <v>4.2</v>
      </c>
      <c r="X477" s="81">
        <v>4.4000000000000004</v>
      </c>
      <c r="Y477" s="81">
        <v>4.3</v>
      </c>
      <c r="Z477" s="81">
        <v>1.3</v>
      </c>
      <c r="AA477" s="81">
        <v>1.2</v>
      </c>
      <c r="AC477" s="111" t="s">
        <v>55</v>
      </c>
      <c r="AD477" s="70">
        <f t="shared" si="457"/>
        <v>6774.24</v>
      </c>
      <c r="AE477" s="70">
        <f t="shared" si="453"/>
        <v>8788.5360000000001</v>
      </c>
      <c r="AF477" s="70">
        <f t="shared" ref="AF477:AL484" si="490">2*(J477*U477/100)</f>
        <v>24008.6</v>
      </c>
      <c r="AG477" s="70">
        <f t="shared" si="490"/>
        <v>26430.18</v>
      </c>
      <c r="AH477" s="70">
        <f t="shared" si="490"/>
        <v>32399.723999999998</v>
      </c>
      <c r="AI477" s="70">
        <f t="shared" si="490"/>
        <v>34187.736000000004</v>
      </c>
      <c r="AJ477" s="70">
        <f t="shared" si="490"/>
        <v>35341.527999999998</v>
      </c>
      <c r="AK477" s="70">
        <f t="shared" si="490"/>
        <v>11353.394000000002</v>
      </c>
      <c r="AL477" s="70">
        <f t="shared" si="490"/>
        <v>10886.495999999999</v>
      </c>
      <c r="AN477" s="111" t="s">
        <v>55</v>
      </c>
      <c r="AO477" s="113">
        <f t="shared" ref="AO477:AW477" si="491">H477/H475</f>
        <v>0.24660865052401937</v>
      </c>
      <c r="AP477" s="113">
        <f t="shared" si="491"/>
        <v>0.27952547941357425</v>
      </c>
      <c r="AQ477" s="113">
        <f t="shared" si="491"/>
        <v>0.25378648578453827</v>
      </c>
      <c r="AR477" s="113">
        <f t="shared" si="491"/>
        <v>0.25732078989837309</v>
      </c>
      <c r="AS477" s="113">
        <f t="shared" si="491"/>
        <v>0.24886041696641545</v>
      </c>
      <c r="AT477" s="113">
        <f t="shared" si="491"/>
        <v>0.24088519948982787</v>
      </c>
      <c r="AU477" s="113">
        <f t="shared" si="491"/>
        <v>0.24082592060177765</v>
      </c>
      <c r="AV477" s="113">
        <f t="shared" si="491"/>
        <v>0.24589489119490765</v>
      </c>
      <c r="AW477" s="113">
        <f t="shared" si="491"/>
        <v>0.25093741114094748</v>
      </c>
      <c r="AY477" s="111" t="s">
        <v>55</v>
      </c>
      <c r="AZ477" s="179">
        <f t="shared" si="487"/>
        <v>5.4253903115284267E-3</v>
      </c>
      <c r="BA477" s="179">
        <f t="shared" si="487"/>
        <v>6.7086115059257819E-3</v>
      </c>
      <c r="BB477" s="179">
        <f t="shared" si="487"/>
        <v>1.776505400491768E-2</v>
      </c>
      <c r="BC477" s="179">
        <f t="shared" si="485"/>
        <v>1.8012455292886115E-2</v>
      </c>
      <c r="BD477" s="179">
        <f t="shared" si="485"/>
        <v>2.0904275025178901E-2</v>
      </c>
      <c r="BE477" s="179">
        <f t="shared" si="485"/>
        <v>2.1197897555104851E-2</v>
      </c>
      <c r="BF477" s="179">
        <f t="shared" si="485"/>
        <v>2.0711029171752878E-2</v>
      </c>
      <c r="BG477" s="179">
        <f t="shared" si="485"/>
        <v>6.3932671710675995E-3</v>
      </c>
      <c r="BH477" s="179">
        <f t="shared" si="485"/>
        <v>6.0224978673827393E-3</v>
      </c>
    </row>
    <row r="478" spans="2:68" s="108" customFormat="1" x14ac:dyDescent="0.25">
      <c r="B478" s="107"/>
      <c r="E478" s="109" t="s">
        <v>4</v>
      </c>
      <c r="F478" s="110" t="s">
        <v>75</v>
      </c>
      <c r="G478" s="111" t="s">
        <v>130</v>
      </c>
      <c r="H478" s="70">
        <v>167513</v>
      </c>
      <c r="I478" s="70">
        <v>182940</v>
      </c>
      <c r="J478" s="70">
        <v>179837</v>
      </c>
      <c r="K478" s="70">
        <v>177506</v>
      </c>
      <c r="L478" s="70">
        <v>183119</v>
      </c>
      <c r="M478" s="70">
        <v>226884</v>
      </c>
      <c r="N478" s="70">
        <v>230703</v>
      </c>
      <c r="O478" s="112">
        <v>273879</v>
      </c>
      <c r="P478" s="112">
        <v>239251</v>
      </c>
      <c r="R478" s="111" t="s">
        <v>130</v>
      </c>
      <c r="S478" s="220">
        <v>1.7</v>
      </c>
      <c r="T478" s="220">
        <v>1.8</v>
      </c>
      <c r="U478" s="220">
        <v>4.9000000000000004</v>
      </c>
      <c r="V478" s="220">
        <v>5.7</v>
      </c>
      <c r="W478" s="220">
        <v>6.6</v>
      </c>
      <c r="X478" s="220">
        <v>4.7</v>
      </c>
      <c r="Y478" s="220">
        <v>6.4</v>
      </c>
      <c r="Z478" s="220">
        <v>2</v>
      </c>
      <c r="AA478" s="220">
        <v>1.9</v>
      </c>
      <c r="AC478" s="111" t="s">
        <v>130</v>
      </c>
      <c r="AD478" s="70">
        <f t="shared" si="457"/>
        <v>5695.4419999999991</v>
      </c>
      <c r="AE478" s="70">
        <f t="shared" si="457"/>
        <v>6585.84</v>
      </c>
      <c r="AF478" s="70">
        <f t="shared" si="490"/>
        <v>17624.026000000002</v>
      </c>
      <c r="AG478" s="70">
        <f t="shared" si="490"/>
        <v>20235.684000000001</v>
      </c>
      <c r="AH478" s="70">
        <f t="shared" si="490"/>
        <v>24171.707999999999</v>
      </c>
      <c r="AI478" s="70">
        <f t="shared" si="490"/>
        <v>21327.096000000001</v>
      </c>
      <c r="AJ478" s="70">
        <f t="shared" si="490"/>
        <v>29529.984000000004</v>
      </c>
      <c r="AK478" s="70">
        <f t="shared" si="490"/>
        <v>10955.16</v>
      </c>
      <c r="AL478" s="70">
        <f t="shared" si="490"/>
        <v>9091.5379999999986</v>
      </c>
      <c r="AN478" s="111" t="s">
        <v>130</v>
      </c>
      <c r="AO478" s="113">
        <f t="shared" ref="AO478:AW478" si="492">H478/H475</f>
        <v>0.13415872588734104</v>
      </c>
      <c r="AP478" s="113">
        <f t="shared" si="492"/>
        <v>0.13964480419651948</v>
      </c>
      <c r="AQ478" s="113">
        <f t="shared" si="492"/>
        <v>0.13306956745009624</v>
      </c>
      <c r="AR478" s="113">
        <f t="shared" si="492"/>
        <v>0.12097227068521831</v>
      </c>
      <c r="AS478" s="113">
        <f t="shared" si="492"/>
        <v>0.11814822676686179</v>
      </c>
      <c r="AT478" s="113">
        <f t="shared" si="492"/>
        <v>0.14067804281899243</v>
      </c>
      <c r="AU478" s="113">
        <f t="shared" si="492"/>
        <v>0.13519779232553</v>
      </c>
      <c r="AV478" s="113">
        <f t="shared" si="492"/>
        <v>0.15422539018242676</v>
      </c>
      <c r="AW478" s="113">
        <f t="shared" si="492"/>
        <v>0.13235559332122915</v>
      </c>
      <c r="AY478" s="111" t="s">
        <v>130</v>
      </c>
      <c r="AZ478" s="179">
        <f t="shared" si="487"/>
        <v>4.5613966801695957E-3</v>
      </c>
      <c r="BA478" s="179">
        <f t="shared" si="487"/>
        <v>5.0272129510747013E-3</v>
      </c>
      <c r="BB478" s="179">
        <f t="shared" si="487"/>
        <v>1.3040817610109431E-2</v>
      </c>
      <c r="BC478" s="179">
        <f t="shared" si="485"/>
        <v>1.3790838858114886E-2</v>
      </c>
      <c r="BD478" s="179">
        <f t="shared" si="485"/>
        <v>1.5595565933225754E-2</v>
      </c>
      <c r="BE478" s="179">
        <f t="shared" si="485"/>
        <v>1.3223736024985288E-2</v>
      </c>
      <c r="BF478" s="179">
        <f t="shared" si="485"/>
        <v>1.7305317417667842E-2</v>
      </c>
      <c r="BG478" s="179">
        <f t="shared" si="485"/>
        <v>6.1690156072970702E-3</v>
      </c>
      <c r="BH478" s="179">
        <f t="shared" si="485"/>
        <v>5.0295125462067073E-3</v>
      </c>
    </row>
    <row r="479" spans="2:68" s="108" customFormat="1" x14ac:dyDescent="0.25">
      <c r="B479" s="107"/>
      <c r="E479" s="109" t="s">
        <v>4</v>
      </c>
      <c r="F479" s="110" t="s">
        <v>75</v>
      </c>
      <c r="G479" s="111" t="s">
        <v>131</v>
      </c>
      <c r="H479" s="112">
        <v>395865</v>
      </c>
      <c r="I479" s="112">
        <v>427888</v>
      </c>
      <c r="J479" s="112">
        <v>478202</v>
      </c>
      <c r="K479" s="112">
        <v>536506</v>
      </c>
      <c r="L479" s="112">
        <v>563250</v>
      </c>
      <c r="M479" s="112">
        <v>594590</v>
      </c>
      <c r="N479" s="112">
        <v>668566</v>
      </c>
      <c r="O479" s="112">
        <v>692416</v>
      </c>
      <c r="P479" s="112">
        <v>751366</v>
      </c>
      <c r="R479" s="111" t="s">
        <v>131</v>
      </c>
      <c r="S479" s="220">
        <v>1</v>
      </c>
      <c r="T479" s="220">
        <v>1</v>
      </c>
      <c r="U479" s="220">
        <v>2.9</v>
      </c>
      <c r="V479" s="220">
        <v>2.7</v>
      </c>
      <c r="W479" s="220">
        <v>2.5</v>
      </c>
      <c r="X479" s="220">
        <v>3.5</v>
      </c>
      <c r="Y479" s="220">
        <v>2.8</v>
      </c>
      <c r="Z479" s="220">
        <v>1.2</v>
      </c>
      <c r="AA479" s="220">
        <v>0.9</v>
      </c>
      <c r="AC479" s="111" t="s">
        <v>131</v>
      </c>
      <c r="AD479" s="112">
        <f t="shared" si="457"/>
        <v>7917.3</v>
      </c>
      <c r="AE479" s="112">
        <f t="shared" si="457"/>
        <v>8557.76</v>
      </c>
      <c r="AF479" s="112">
        <f t="shared" si="490"/>
        <v>27735.716</v>
      </c>
      <c r="AG479" s="112">
        <f t="shared" si="490"/>
        <v>28971.324000000004</v>
      </c>
      <c r="AH479" s="112">
        <f t="shared" si="490"/>
        <v>28162.5</v>
      </c>
      <c r="AI479" s="112">
        <f t="shared" si="490"/>
        <v>41621.300000000003</v>
      </c>
      <c r="AJ479" s="112">
        <f t="shared" si="490"/>
        <v>37439.695999999996</v>
      </c>
      <c r="AK479" s="112">
        <f t="shared" si="490"/>
        <v>16617.984</v>
      </c>
      <c r="AL479" s="112">
        <f t="shared" si="490"/>
        <v>13524.588</v>
      </c>
      <c r="AN479" s="111" t="s">
        <v>131</v>
      </c>
      <c r="AO479" s="113">
        <f t="shared" ref="AO479:AW479" si="493">H479/H475</f>
        <v>0.31704252221255819</v>
      </c>
      <c r="AP479" s="113">
        <f t="shared" si="493"/>
        <v>0.326622586520391</v>
      </c>
      <c r="AQ479" s="113">
        <f t="shared" si="493"/>
        <v>0.35384338758859923</v>
      </c>
      <c r="AR479" s="113">
        <f t="shared" si="493"/>
        <v>0.3656346774545296</v>
      </c>
      <c r="AS479" s="113">
        <f t="shared" si="493"/>
        <v>0.36340843236602921</v>
      </c>
      <c r="AT479" s="113">
        <f t="shared" si="493"/>
        <v>0.3686719093446198</v>
      </c>
      <c r="AU479" s="113">
        <f t="shared" si="493"/>
        <v>0.39179658358976821</v>
      </c>
      <c r="AV479" s="113">
        <f t="shared" si="493"/>
        <v>0.38990987906540919</v>
      </c>
      <c r="AW479" s="113">
        <f t="shared" si="493"/>
        <v>0.41566176413640343</v>
      </c>
      <c r="AY479" s="111" t="s">
        <v>131</v>
      </c>
      <c r="AZ479" s="179">
        <f t="shared" si="487"/>
        <v>6.3408504442511639E-3</v>
      </c>
      <c r="BA479" s="179">
        <f t="shared" si="487"/>
        <v>6.53245173040782E-3</v>
      </c>
      <c r="BB479" s="179">
        <f t="shared" si="487"/>
        <v>2.0522916480138754E-2</v>
      </c>
      <c r="BC479" s="179">
        <f t="shared" si="485"/>
        <v>1.97442725825446E-2</v>
      </c>
      <c r="BD479" s="179">
        <f t="shared" si="485"/>
        <v>1.8170421618301461E-2</v>
      </c>
      <c r="BE479" s="179">
        <f t="shared" si="485"/>
        <v>2.5807033654123384E-2</v>
      </c>
      <c r="BF479" s="179">
        <f t="shared" si="485"/>
        <v>2.1940608681027016E-2</v>
      </c>
      <c r="BG479" s="179">
        <f t="shared" si="485"/>
        <v>9.3578370975698193E-3</v>
      </c>
      <c r="BH479" s="179">
        <f t="shared" si="485"/>
        <v>7.4819117544552612E-3</v>
      </c>
    </row>
    <row r="480" spans="2:68" s="87" customFormat="1" x14ac:dyDescent="0.25">
      <c r="B480" s="84"/>
      <c r="C480" s="85"/>
      <c r="D480" s="85"/>
      <c r="E480" s="109" t="s">
        <v>5</v>
      </c>
      <c r="F480" s="110" t="s">
        <v>75</v>
      </c>
      <c r="G480" s="195" t="s">
        <v>7</v>
      </c>
      <c r="H480" s="69">
        <v>1232951</v>
      </c>
      <c r="I480" s="69">
        <v>1294172</v>
      </c>
      <c r="J480" s="69">
        <v>1334668</v>
      </c>
      <c r="K480" s="69">
        <v>1431938</v>
      </c>
      <c r="L480" s="69">
        <v>1492708</v>
      </c>
      <c r="M480" s="69">
        <v>1554033</v>
      </c>
      <c r="N480" s="69">
        <v>1652269</v>
      </c>
      <c r="O480" s="69">
        <v>1720827</v>
      </c>
      <c r="P480" s="69">
        <v>1770852</v>
      </c>
      <c r="R480" s="195" t="s">
        <v>7</v>
      </c>
      <c r="S480" s="226">
        <v>0.2</v>
      </c>
      <c r="T480" s="226">
        <v>0.7</v>
      </c>
      <c r="U480" s="226">
        <v>0.2</v>
      </c>
      <c r="V480" s="226">
        <v>0.6</v>
      </c>
      <c r="W480" s="226">
        <v>0.7</v>
      </c>
      <c r="X480" s="226">
        <v>0.8</v>
      </c>
      <c r="Y480" s="226">
        <v>0.2</v>
      </c>
      <c r="Z480" s="226">
        <v>0.2</v>
      </c>
      <c r="AA480" s="226">
        <v>0.2</v>
      </c>
      <c r="AC480" s="195" t="s">
        <v>7</v>
      </c>
      <c r="AD480" s="69">
        <f t="shared" si="457"/>
        <v>4931.8040000000001</v>
      </c>
      <c r="AE480" s="69">
        <f t="shared" si="457"/>
        <v>18118.407999999999</v>
      </c>
      <c r="AF480" s="69">
        <f t="shared" si="490"/>
        <v>5338.6720000000005</v>
      </c>
      <c r="AG480" s="69">
        <f t="shared" si="490"/>
        <v>17183.255999999998</v>
      </c>
      <c r="AH480" s="69">
        <f t="shared" si="490"/>
        <v>20897.912</v>
      </c>
      <c r="AI480" s="69">
        <f t="shared" si="490"/>
        <v>24864.528000000002</v>
      </c>
      <c r="AJ480" s="69">
        <f t="shared" si="490"/>
        <v>6609.0760000000009</v>
      </c>
      <c r="AK480" s="69">
        <f t="shared" si="490"/>
        <v>6883.3080000000009</v>
      </c>
      <c r="AL480" s="69">
        <f t="shared" si="490"/>
        <v>7083.4080000000004</v>
      </c>
      <c r="AN480" s="195" t="s">
        <v>7</v>
      </c>
      <c r="AO480" s="98">
        <f t="shared" ref="AO480:AW480" si="494">H480/H480</f>
        <v>1</v>
      </c>
      <c r="AP480" s="98">
        <f t="shared" si="494"/>
        <v>1</v>
      </c>
      <c r="AQ480" s="98">
        <f t="shared" si="494"/>
        <v>1</v>
      </c>
      <c r="AR480" s="98">
        <f t="shared" si="494"/>
        <v>1</v>
      </c>
      <c r="AS480" s="98">
        <f t="shared" si="494"/>
        <v>1</v>
      </c>
      <c r="AT480" s="98">
        <f t="shared" si="494"/>
        <v>1</v>
      </c>
      <c r="AU480" s="98">
        <f t="shared" si="494"/>
        <v>1</v>
      </c>
      <c r="AV480" s="98">
        <f t="shared" si="494"/>
        <v>1</v>
      </c>
      <c r="AW480" s="98">
        <f t="shared" si="494"/>
        <v>1</v>
      </c>
      <c r="AX480" s="191"/>
      <c r="AY480" s="195" t="s">
        <v>7</v>
      </c>
      <c r="AZ480" s="178">
        <f t="shared" si="487"/>
        <v>4.0000000000000001E-3</v>
      </c>
      <c r="BA480" s="178">
        <f t="shared" si="487"/>
        <v>1.3999999999999999E-2</v>
      </c>
      <c r="BB480" s="178">
        <f t="shared" si="487"/>
        <v>4.0000000000000001E-3</v>
      </c>
      <c r="BC480" s="178">
        <f t="shared" si="485"/>
        <v>1.2E-2</v>
      </c>
      <c r="BD480" s="178">
        <f t="shared" si="485"/>
        <v>1.3999999999999999E-2</v>
      </c>
      <c r="BE480" s="178">
        <f t="shared" si="485"/>
        <v>1.6E-2</v>
      </c>
      <c r="BF480" s="178">
        <f t="shared" si="485"/>
        <v>4.0000000000000001E-3</v>
      </c>
      <c r="BG480" s="178">
        <f t="shared" si="485"/>
        <v>4.0000000000000001E-3</v>
      </c>
      <c r="BH480" s="178">
        <f t="shared" si="485"/>
        <v>4.0000000000000001E-3</v>
      </c>
      <c r="BI480" s="191"/>
      <c r="BJ480" s="191"/>
      <c r="BK480" s="191"/>
      <c r="BL480" s="191"/>
      <c r="BM480" s="191"/>
      <c r="BN480" s="191"/>
      <c r="BO480" s="191"/>
      <c r="BP480" s="191"/>
    </row>
    <row r="481" spans="2:68" s="108" customFormat="1" x14ac:dyDescent="0.25">
      <c r="B481" s="107"/>
      <c r="E481" s="109" t="s">
        <v>5</v>
      </c>
      <c r="F481" s="110" t="s">
        <v>75</v>
      </c>
      <c r="G481" s="111" t="s">
        <v>54</v>
      </c>
      <c r="H481" s="112">
        <v>314561</v>
      </c>
      <c r="I481" s="112">
        <v>272570</v>
      </c>
      <c r="J481" s="112">
        <v>266524</v>
      </c>
      <c r="K481" s="112">
        <v>276970</v>
      </c>
      <c r="L481" s="112">
        <v>286665</v>
      </c>
      <c r="M481" s="112">
        <v>286815</v>
      </c>
      <c r="N481" s="112">
        <v>267588</v>
      </c>
      <c r="O481" s="112">
        <v>269175</v>
      </c>
      <c r="P481" s="112">
        <v>223279</v>
      </c>
      <c r="R481" s="111" t="s">
        <v>54</v>
      </c>
      <c r="S481" s="220">
        <v>1.1000000000000001</v>
      </c>
      <c r="T481" s="220">
        <v>1.6</v>
      </c>
      <c r="U481" s="220">
        <v>4</v>
      </c>
      <c r="V481" s="220">
        <v>4.4000000000000004</v>
      </c>
      <c r="W481" s="220">
        <v>5</v>
      </c>
      <c r="X481" s="220">
        <v>5.6</v>
      </c>
      <c r="Y481" s="220">
        <v>5.6</v>
      </c>
      <c r="Z481" s="220">
        <v>2</v>
      </c>
      <c r="AA481" s="220">
        <v>1.9</v>
      </c>
      <c r="AC481" s="111" t="s">
        <v>54</v>
      </c>
      <c r="AD481" s="112">
        <f t="shared" si="457"/>
        <v>6920.3420000000006</v>
      </c>
      <c r="AE481" s="112">
        <f t="shared" si="457"/>
        <v>8722.24</v>
      </c>
      <c r="AF481" s="112">
        <f t="shared" si="490"/>
        <v>21321.919999999998</v>
      </c>
      <c r="AG481" s="112">
        <f t="shared" si="490"/>
        <v>24373.360000000001</v>
      </c>
      <c r="AH481" s="112">
        <f t="shared" si="490"/>
        <v>28666.5</v>
      </c>
      <c r="AI481" s="112">
        <f t="shared" si="490"/>
        <v>32123.279999999999</v>
      </c>
      <c r="AJ481" s="112">
        <f t="shared" si="490"/>
        <v>29969.855999999996</v>
      </c>
      <c r="AK481" s="112">
        <f t="shared" si="490"/>
        <v>10767</v>
      </c>
      <c r="AL481" s="112">
        <f t="shared" si="490"/>
        <v>8484.601999999999</v>
      </c>
      <c r="AN481" s="111" t="s">
        <v>54</v>
      </c>
      <c r="AO481" s="113">
        <f t="shared" ref="AO481:AW481" si="495">H481/H480</f>
        <v>0.25512854930974549</v>
      </c>
      <c r="AP481" s="113">
        <f t="shared" si="495"/>
        <v>0.21061342696334026</v>
      </c>
      <c r="AQ481" s="113">
        <f t="shared" si="495"/>
        <v>0.1996931071996931</v>
      </c>
      <c r="AR481" s="113">
        <f t="shared" si="495"/>
        <v>0.1934231789365182</v>
      </c>
      <c r="AS481" s="113">
        <f t="shared" si="495"/>
        <v>0.1920435878952883</v>
      </c>
      <c r="AT481" s="113">
        <f t="shared" si="495"/>
        <v>0.18456171780135944</v>
      </c>
      <c r="AU481" s="113">
        <f t="shared" si="495"/>
        <v>0.16195183714032038</v>
      </c>
      <c r="AV481" s="113">
        <f t="shared" si="495"/>
        <v>0.15642188319918271</v>
      </c>
      <c r="AW481" s="113">
        <f t="shared" si="495"/>
        <v>0.12608563561494693</v>
      </c>
      <c r="AY481" s="111" t="s">
        <v>54</v>
      </c>
      <c r="AZ481" s="179">
        <f t="shared" si="487"/>
        <v>5.6128280848144006E-3</v>
      </c>
      <c r="BA481" s="179">
        <f t="shared" si="487"/>
        <v>6.7396296628268893E-3</v>
      </c>
      <c r="BB481" s="179">
        <f t="shared" si="487"/>
        <v>1.5975448575975448E-2</v>
      </c>
      <c r="BC481" s="179">
        <f t="shared" si="485"/>
        <v>1.7021239746413605E-2</v>
      </c>
      <c r="BD481" s="179">
        <f t="shared" si="485"/>
        <v>1.9204358789528829E-2</v>
      </c>
      <c r="BE481" s="179">
        <f t="shared" si="485"/>
        <v>2.0670912393752253E-2</v>
      </c>
      <c r="BF481" s="179">
        <f t="shared" si="485"/>
        <v>1.8138605759715883E-2</v>
      </c>
      <c r="BG481" s="179">
        <f t="shared" si="485"/>
        <v>6.2568753279673081E-3</v>
      </c>
      <c r="BH481" s="179">
        <f t="shared" si="485"/>
        <v>4.7912541533679832E-3</v>
      </c>
    </row>
    <row r="482" spans="2:68" s="108" customFormat="1" x14ac:dyDescent="0.25">
      <c r="B482" s="107"/>
      <c r="E482" s="109" t="s">
        <v>5</v>
      </c>
      <c r="F482" s="110" t="s">
        <v>75</v>
      </c>
      <c r="G482" s="111" t="s">
        <v>55</v>
      </c>
      <c r="H482" s="70">
        <v>250175</v>
      </c>
      <c r="I482" s="70">
        <v>287364</v>
      </c>
      <c r="J482" s="70">
        <v>301906</v>
      </c>
      <c r="K482" s="70">
        <v>313902</v>
      </c>
      <c r="L482" s="70">
        <v>304349</v>
      </c>
      <c r="M482" s="112">
        <v>307515</v>
      </c>
      <c r="N482" s="112">
        <v>354537</v>
      </c>
      <c r="O482" s="112">
        <v>356884</v>
      </c>
      <c r="P482" s="112">
        <v>353926</v>
      </c>
      <c r="R482" s="111" t="s">
        <v>55</v>
      </c>
      <c r="S482" s="81">
        <v>1.4</v>
      </c>
      <c r="T482" s="81">
        <v>1.2</v>
      </c>
      <c r="U482" s="81">
        <v>3.7</v>
      </c>
      <c r="V482" s="81">
        <v>3.5</v>
      </c>
      <c r="W482" s="81">
        <v>4.4000000000000004</v>
      </c>
      <c r="X482" s="81">
        <v>4.5999999999999996</v>
      </c>
      <c r="Y482" s="81">
        <v>4.5999999999999996</v>
      </c>
      <c r="Z482" s="81">
        <v>1.6</v>
      </c>
      <c r="AA482" s="81">
        <v>1.4</v>
      </c>
      <c r="AC482" s="111" t="s">
        <v>55</v>
      </c>
      <c r="AD482" s="70">
        <f t="shared" si="457"/>
        <v>7004.9</v>
      </c>
      <c r="AE482" s="70">
        <f t="shared" si="457"/>
        <v>6896.7359999999999</v>
      </c>
      <c r="AF482" s="70">
        <f t="shared" si="490"/>
        <v>22341.043999999998</v>
      </c>
      <c r="AG482" s="70">
        <f t="shared" si="490"/>
        <v>21973.14</v>
      </c>
      <c r="AH482" s="70">
        <f t="shared" si="490"/>
        <v>26782.712000000003</v>
      </c>
      <c r="AI482" s="70">
        <f t="shared" si="490"/>
        <v>28291.38</v>
      </c>
      <c r="AJ482" s="70">
        <f t="shared" si="490"/>
        <v>32617.403999999999</v>
      </c>
      <c r="AK482" s="70">
        <f t="shared" si="490"/>
        <v>11420.288</v>
      </c>
      <c r="AL482" s="70">
        <f t="shared" si="490"/>
        <v>9909.9279999999999</v>
      </c>
      <c r="AN482" s="111" t="s">
        <v>55</v>
      </c>
      <c r="AO482" s="113">
        <f t="shared" ref="AO482:AW482" si="496">H482/H480</f>
        <v>0.20290749591832927</v>
      </c>
      <c r="AP482" s="113">
        <f t="shared" si="496"/>
        <v>0.22204467412368681</v>
      </c>
      <c r="AQ482" s="113">
        <f t="shared" si="496"/>
        <v>0.22620307072620308</v>
      </c>
      <c r="AR482" s="113">
        <f t="shared" si="496"/>
        <v>0.21921479840607624</v>
      </c>
      <c r="AS482" s="113">
        <f t="shared" si="496"/>
        <v>0.20389051308092407</v>
      </c>
      <c r="AT482" s="113">
        <f t="shared" si="496"/>
        <v>0.19788189826084773</v>
      </c>
      <c r="AU482" s="113">
        <f t="shared" si="496"/>
        <v>0.21457583480655995</v>
      </c>
      <c r="AV482" s="113">
        <f t="shared" si="496"/>
        <v>0.20739098119683153</v>
      </c>
      <c r="AW482" s="113">
        <f t="shared" si="496"/>
        <v>0.19986198733716878</v>
      </c>
      <c r="AY482" s="111" t="s">
        <v>55</v>
      </c>
      <c r="AZ482" s="179">
        <f t="shared" si="487"/>
        <v>5.681409885713219E-3</v>
      </c>
      <c r="BA482" s="179">
        <f t="shared" si="487"/>
        <v>5.3290721789684839E-3</v>
      </c>
      <c r="BB482" s="179">
        <f t="shared" si="487"/>
        <v>1.6739027233739028E-2</v>
      </c>
      <c r="BC482" s="179">
        <f t="shared" si="485"/>
        <v>1.5345035888425338E-2</v>
      </c>
      <c r="BD482" s="179">
        <f t="shared" si="485"/>
        <v>1.7942365151121319E-2</v>
      </c>
      <c r="BE482" s="179">
        <f t="shared" si="485"/>
        <v>1.820513463999799E-2</v>
      </c>
      <c r="BF482" s="179">
        <f t="shared" si="485"/>
        <v>1.9740976802203512E-2</v>
      </c>
      <c r="BG482" s="179">
        <f t="shared" si="485"/>
        <v>6.6365113982986088E-3</v>
      </c>
      <c r="BH482" s="179">
        <f t="shared" si="485"/>
        <v>5.5961356454407255E-3</v>
      </c>
    </row>
    <row r="483" spans="2:68" s="108" customFormat="1" x14ac:dyDescent="0.25">
      <c r="B483" s="107"/>
      <c r="E483" s="109" t="s">
        <v>5</v>
      </c>
      <c r="F483" s="110" t="s">
        <v>75</v>
      </c>
      <c r="G483" s="111" t="s">
        <v>130</v>
      </c>
      <c r="H483" s="70">
        <v>146530</v>
      </c>
      <c r="I483" s="70">
        <v>162713</v>
      </c>
      <c r="J483" s="70">
        <v>151815</v>
      </c>
      <c r="K483" s="70">
        <v>157046</v>
      </c>
      <c r="L483" s="70">
        <v>171864</v>
      </c>
      <c r="M483" s="70">
        <v>176813</v>
      </c>
      <c r="N483" s="70">
        <v>180479</v>
      </c>
      <c r="O483" s="112">
        <v>201420</v>
      </c>
      <c r="P483" s="112">
        <v>213704</v>
      </c>
      <c r="R483" s="111" t="s">
        <v>130</v>
      </c>
      <c r="S483" s="220">
        <v>1.7</v>
      </c>
      <c r="T483" s="220">
        <v>1.8</v>
      </c>
      <c r="U483" s="220">
        <v>5.6</v>
      </c>
      <c r="V483" s="220">
        <v>5.7</v>
      </c>
      <c r="W483" s="220">
        <v>6.6</v>
      </c>
      <c r="X483" s="220">
        <v>6.4</v>
      </c>
      <c r="Y483" s="220">
        <v>7.6</v>
      </c>
      <c r="Z483" s="220">
        <v>2.2999999999999998</v>
      </c>
      <c r="AA483" s="220">
        <v>2.1</v>
      </c>
      <c r="AC483" s="111" t="s">
        <v>130</v>
      </c>
      <c r="AD483" s="70">
        <f t="shared" si="457"/>
        <v>4982.0200000000004</v>
      </c>
      <c r="AE483" s="70">
        <f t="shared" si="457"/>
        <v>5857.6680000000006</v>
      </c>
      <c r="AF483" s="70">
        <f t="shared" si="490"/>
        <v>17003.28</v>
      </c>
      <c r="AG483" s="70">
        <f t="shared" si="490"/>
        <v>17903.244000000002</v>
      </c>
      <c r="AH483" s="70">
        <f t="shared" si="490"/>
        <v>22686.047999999999</v>
      </c>
      <c r="AI483" s="70">
        <f t="shared" si="490"/>
        <v>22632.063999999998</v>
      </c>
      <c r="AJ483" s="70">
        <f t="shared" si="490"/>
        <v>27432.807999999997</v>
      </c>
      <c r="AK483" s="70">
        <f t="shared" si="490"/>
        <v>9265.32</v>
      </c>
      <c r="AL483" s="70">
        <f t="shared" si="490"/>
        <v>8975.5680000000011</v>
      </c>
      <c r="AN483" s="111" t="s">
        <v>130</v>
      </c>
      <c r="AO483" s="113">
        <f t="shared" ref="AO483:AW483" si="497">H483/H480</f>
        <v>0.11884495004262131</v>
      </c>
      <c r="AP483" s="113">
        <f t="shared" si="497"/>
        <v>0.12572749217260148</v>
      </c>
      <c r="AQ483" s="113">
        <f t="shared" si="497"/>
        <v>0.11374738886374738</v>
      </c>
      <c r="AR483" s="113">
        <f t="shared" si="497"/>
        <v>0.10967374285758183</v>
      </c>
      <c r="AS483" s="113">
        <f t="shared" si="497"/>
        <v>0.11513571307985219</v>
      </c>
      <c r="AT483" s="113">
        <f t="shared" si="497"/>
        <v>0.11377686316828536</v>
      </c>
      <c r="AU483" s="113">
        <f t="shared" si="497"/>
        <v>0.10923100294201489</v>
      </c>
      <c r="AV483" s="113">
        <f t="shared" si="497"/>
        <v>0.1170483726719769</v>
      </c>
      <c r="AW483" s="113">
        <f t="shared" si="497"/>
        <v>0.12067863378757795</v>
      </c>
      <c r="AY483" s="111" t="s">
        <v>130</v>
      </c>
      <c r="AZ483" s="179">
        <f t="shared" si="487"/>
        <v>4.0407283014491247E-3</v>
      </c>
      <c r="BA483" s="179">
        <f t="shared" si="487"/>
        <v>4.5261897182136534E-3</v>
      </c>
      <c r="BB483" s="179">
        <f t="shared" si="487"/>
        <v>1.2739707552739706E-2</v>
      </c>
      <c r="BC483" s="179">
        <f t="shared" si="485"/>
        <v>1.2502806685764329E-2</v>
      </c>
      <c r="BD483" s="179">
        <f t="shared" si="485"/>
        <v>1.5197914126540488E-2</v>
      </c>
      <c r="BE483" s="179">
        <f t="shared" si="485"/>
        <v>1.4563438485540528E-2</v>
      </c>
      <c r="BF483" s="179">
        <f t="shared" si="485"/>
        <v>1.6603112447186263E-2</v>
      </c>
      <c r="BG483" s="179">
        <f t="shared" si="485"/>
        <v>5.3842251429109369E-3</v>
      </c>
      <c r="BH483" s="179">
        <f t="shared" si="485"/>
        <v>5.0685026190782747E-3</v>
      </c>
    </row>
    <row r="484" spans="2:68" s="108" customFormat="1" x14ac:dyDescent="0.25">
      <c r="B484" s="107"/>
      <c r="E484" s="109" t="s">
        <v>5</v>
      </c>
      <c r="F484" s="110" t="s">
        <v>75</v>
      </c>
      <c r="G484" s="111" t="s">
        <v>131</v>
      </c>
      <c r="H484" s="112">
        <v>518514</v>
      </c>
      <c r="I484" s="112">
        <v>559250</v>
      </c>
      <c r="J484" s="112">
        <v>609220</v>
      </c>
      <c r="K484" s="112">
        <v>676435</v>
      </c>
      <c r="L484" s="112">
        <v>727141</v>
      </c>
      <c r="M484" s="112">
        <v>777711</v>
      </c>
      <c r="N484" s="112">
        <v>843983</v>
      </c>
      <c r="O484" s="112">
        <v>893348</v>
      </c>
      <c r="P484" s="112">
        <v>979942</v>
      </c>
      <c r="R484" s="111" t="s">
        <v>131</v>
      </c>
      <c r="S484" s="220">
        <v>0.9</v>
      </c>
      <c r="T484" s="220">
        <v>0.9</v>
      </c>
      <c r="U484" s="220">
        <v>2</v>
      </c>
      <c r="V484" s="220">
        <v>2.6</v>
      </c>
      <c r="W484" s="220">
        <v>2.4</v>
      </c>
      <c r="X484" s="220">
        <v>2.1</v>
      </c>
      <c r="Y484" s="220">
        <v>2.1</v>
      </c>
      <c r="Z484" s="220">
        <v>1</v>
      </c>
      <c r="AA484" s="220">
        <v>0.6</v>
      </c>
      <c r="AC484" s="111" t="s">
        <v>131</v>
      </c>
      <c r="AD484" s="112">
        <f t="shared" si="457"/>
        <v>9333.2520000000004</v>
      </c>
      <c r="AE484" s="112">
        <f t="shared" si="457"/>
        <v>10066.5</v>
      </c>
      <c r="AF484" s="112">
        <f t="shared" si="490"/>
        <v>24368.799999999999</v>
      </c>
      <c r="AG484" s="112">
        <f t="shared" si="490"/>
        <v>35174.620000000003</v>
      </c>
      <c r="AH484" s="112">
        <f t="shared" si="490"/>
        <v>34902.767999999996</v>
      </c>
      <c r="AI484" s="112">
        <f t="shared" si="490"/>
        <v>32663.862000000001</v>
      </c>
      <c r="AJ484" s="112">
        <f t="shared" si="490"/>
        <v>35447.286</v>
      </c>
      <c r="AK484" s="112">
        <f t="shared" si="490"/>
        <v>17866.96</v>
      </c>
      <c r="AL484" s="112">
        <f t="shared" si="490"/>
        <v>11759.303999999998</v>
      </c>
      <c r="AN484" s="111" t="s">
        <v>131</v>
      </c>
      <c r="AO484" s="113">
        <f t="shared" ref="AO484:AW484" si="498">H484/H480</f>
        <v>0.42054712636593017</v>
      </c>
      <c r="AP484" s="113">
        <f t="shared" si="498"/>
        <v>0.43212957783045841</v>
      </c>
      <c r="AQ484" s="113">
        <f t="shared" si="498"/>
        <v>0.45645808545645811</v>
      </c>
      <c r="AR484" s="113">
        <f t="shared" si="498"/>
        <v>0.47239126275020288</v>
      </c>
      <c r="AS484" s="113">
        <f t="shared" si="498"/>
        <v>0.48712876195478283</v>
      </c>
      <c r="AT484" s="113">
        <f t="shared" si="498"/>
        <v>0.50044690170672046</v>
      </c>
      <c r="AU484" s="113">
        <f t="shared" si="498"/>
        <v>0.51080241776611435</v>
      </c>
      <c r="AV484" s="113">
        <f t="shared" si="498"/>
        <v>0.51913876293200889</v>
      </c>
      <c r="AW484" s="113">
        <f t="shared" si="498"/>
        <v>0.5533731785603766</v>
      </c>
      <c r="AY484" s="111" t="s">
        <v>131</v>
      </c>
      <c r="AZ484" s="179">
        <f t="shared" si="487"/>
        <v>7.5698482745867436E-3</v>
      </c>
      <c r="BA484" s="179">
        <f t="shared" si="487"/>
        <v>7.7783324009482509E-3</v>
      </c>
      <c r="BB484" s="179">
        <f t="shared" si="487"/>
        <v>1.8258323418258324E-2</v>
      </c>
      <c r="BC484" s="179">
        <f t="shared" si="485"/>
        <v>2.4564345663010551E-2</v>
      </c>
      <c r="BD484" s="179">
        <f t="shared" si="485"/>
        <v>2.3382180573829573E-2</v>
      </c>
      <c r="BE484" s="179">
        <f t="shared" si="485"/>
        <v>2.1018769871682261E-2</v>
      </c>
      <c r="BF484" s="179">
        <f t="shared" si="485"/>
        <v>2.1453701546176804E-2</v>
      </c>
      <c r="BG484" s="179">
        <f t="shared" si="485"/>
        <v>1.0382775258640177E-2</v>
      </c>
      <c r="BH484" s="179">
        <f t="shared" si="485"/>
        <v>6.6404781427245188E-3</v>
      </c>
    </row>
    <row r="485" spans="2:68" x14ac:dyDescent="0.3">
      <c r="H485" s="122" t="s">
        <v>122</v>
      </c>
      <c r="I485" s="122">
        <v>2003</v>
      </c>
      <c r="J485" s="122">
        <v>2005</v>
      </c>
      <c r="K485" s="122" t="s">
        <v>123</v>
      </c>
      <c r="L485" s="122" t="s">
        <v>124</v>
      </c>
      <c r="M485" s="122" t="s">
        <v>125</v>
      </c>
      <c r="N485" s="122" t="s">
        <v>126</v>
      </c>
      <c r="O485" s="122" t="s">
        <v>127</v>
      </c>
      <c r="P485" s="122" t="s">
        <v>128</v>
      </c>
      <c r="R485" s="111"/>
      <c r="S485" s="120" t="s">
        <v>122</v>
      </c>
      <c r="T485" s="121">
        <v>2003</v>
      </c>
      <c r="U485" s="121">
        <v>2005</v>
      </c>
      <c r="V485" s="122" t="s">
        <v>123</v>
      </c>
      <c r="W485" s="122" t="s">
        <v>124</v>
      </c>
      <c r="X485" s="122" t="s">
        <v>125</v>
      </c>
      <c r="Y485" s="122" t="s">
        <v>126</v>
      </c>
      <c r="Z485" s="122" t="s">
        <v>127</v>
      </c>
      <c r="AA485" s="122" t="s">
        <v>128</v>
      </c>
      <c r="AC485" s="197" t="s">
        <v>8</v>
      </c>
      <c r="AD485" s="120" t="s">
        <v>122</v>
      </c>
      <c r="AE485" s="121">
        <v>2003</v>
      </c>
      <c r="AF485" s="121">
        <v>2005</v>
      </c>
      <c r="AG485" s="122" t="s">
        <v>123</v>
      </c>
      <c r="AH485" s="122" t="s">
        <v>124</v>
      </c>
      <c r="AI485" s="122" t="s">
        <v>125</v>
      </c>
      <c r="AJ485" s="122" t="s">
        <v>126</v>
      </c>
      <c r="AK485" s="122" t="s">
        <v>127</v>
      </c>
      <c r="AL485" s="122" t="s">
        <v>128</v>
      </c>
      <c r="AN485" s="197" t="s">
        <v>8</v>
      </c>
      <c r="AO485" s="120" t="s">
        <v>122</v>
      </c>
      <c r="AP485" s="121">
        <v>2003</v>
      </c>
      <c r="AQ485" s="121">
        <v>2005</v>
      </c>
      <c r="AR485" s="122" t="s">
        <v>123</v>
      </c>
      <c r="AS485" s="122" t="s">
        <v>124</v>
      </c>
      <c r="AT485" s="122" t="s">
        <v>125</v>
      </c>
      <c r="AU485" s="122" t="s">
        <v>126</v>
      </c>
      <c r="AV485" s="122" t="s">
        <v>127</v>
      </c>
      <c r="AW485" s="122" t="s">
        <v>128</v>
      </c>
      <c r="AY485" s="197" t="s">
        <v>8</v>
      </c>
      <c r="AZ485" s="120" t="s">
        <v>122</v>
      </c>
      <c r="BA485" s="121">
        <v>2003</v>
      </c>
      <c r="BB485" s="121">
        <v>2005</v>
      </c>
      <c r="BC485" s="122" t="s">
        <v>123</v>
      </c>
      <c r="BD485" s="122" t="s">
        <v>124</v>
      </c>
      <c r="BE485" s="122" t="s">
        <v>125</v>
      </c>
      <c r="BF485" s="122" t="s">
        <v>126</v>
      </c>
      <c r="BG485" s="122" t="s">
        <v>127</v>
      </c>
      <c r="BH485" s="122" t="s">
        <v>128</v>
      </c>
    </row>
    <row r="486" spans="2:68" s="87" customFormat="1" x14ac:dyDescent="0.25">
      <c r="B486" s="84"/>
      <c r="C486" s="85"/>
      <c r="D486" s="85"/>
      <c r="E486" s="109" t="s">
        <v>0</v>
      </c>
      <c r="F486" s="110" t="s">
        <v>67</v>
      </c>
      <c r="G486" s="195" t="s">
        <v>7</v>
      </c>
      <c r="H486" s="69">
        <v>415379</v>
      </c>
      <c r="I486" s="69">
        <v>424462</v>
      </c>
      <c r="J486" s="69">
        <v>425405</v>
      </c>
      <c r="K486" s="69">
        <v>425280</v>
      </c>
      <c r="L486" s="69">
        <v>426482</v>
      </c>
      <c r="M486" s="69">
        <v>410043</v>
      </c>
      <c r="N486" s="69">
        <v>403183</v>
      </c>
      <c r="O486" s="69">
        <v>408328</v>
      </c>
      <c r="P486" s="69">
        <v>400238</v>
      </c>
      <c r="R486" s="195" t="s">
        <v>7</v>
      </c>
      <c r="S486" s="226">
        <v>1</v>
      </c>
      <c r="T486" s="226">
        <v>1</v>
      </c>
      <c r="U486" s="226">
        <v>1</v>
      </c>
      <c r="V486" s="226">
        <v>1.1000000000000001</v>
      </c>
      <c r="W486" s="226">
        <v>1.2</v>
      </c>
      <c r="X486" s="226">
        <v>1.3</v>
      </c>
      <c r="Y486" s="226">
        <v>1.3</v>
      </c>
      <c r="Z486" s="226">
        <v>1.4</v>
      </c>
      <c r="AA486" s="226">
        <v>1.3</v>
      </c>
      <c r="AC486" s="195" t="s">
        <v>7</v>
      </c>
      <c r="AD486" s="69">
        <f>2*(H486*S486/100)</f>
        <v>8307.58</v>
      </c>
      <c r="AE486" s="69">
        <f t="shared" ref="AE486:AL518" si="499">2*(I486*T486/100)</f>
        <v>8489.24</v>
      </c>
      <c r="AF486" s="69">
        <f t="shared" si="499"/>
        <v>8508.1</v>
      </c>
      <c r="AG486" s="69">
        <f t="shared" si="499"/>
        <v>9356.1600000000017</v>
      </c>
      <c r="AH486" s="69">
        <f t="shared" si="499"/>
        <v>10235.567999999999</v>
      </c>
      <c r="AI486" s="69">
        <f t="shared" si="499"/>
        <v>10661.118</v>
      </c>
      <c r="AJ486" s="69">
        <f t="shared" si="499"/>
        <v>10482.758</v>
      </c>
      <c r="AK486" s="69">
        <f>2*(O486*Z486/100)</f>
        <v>11433.183999999999</v>
      </c>
      <c r="AL486" s="69">
        <f>2*(P486*AA486/100)</f>
        <v>10406.188</v>
      </c>
      <c r="AN486" s="195" t="s">
        <v>7</v>
      </c>
      <c r="AO486" s="98">
        <f t="shared" ref="AO486:AW486" si="500">H486/H486</f>
        <v>1</v>
      </c>
      <c r="AP486" s="98">
        <f t="shared" si="500"/>
        <v>1</v>
      </c>
      <c r="AQ486" s="98">
        <f t="shared" si="500"/>
        <v>1</v>
      </c>
      <c r="AR486" s="98">
        <f t="shared" si="500"/>
        <v>1</v>
      </c>
      <c r="AS486" s="98">
        <f t="shared" si="500"/>
        <v>1</v>
      </c>
      <c r="AT486" s="98">
        <f t="shared" si="500"/>
        <v>1</v>
      </c>
      <c r="AU486" s="98">
        <f t="shared" si="500"/>
        <v>1</v>
      </c>
      <c r="AV486" s="98">
        <f t="shared" si="500"/>
        <v>1</v>
      </c>
      <c r="AW486" s="98">
        <f t="shared" si="500"/>
        <v>1</v>
      </c>
      <c r="AX486" s="191"/>
      <c r="AY486" s="195" t="s">
        <v>7</v>
      </c>
      <c r="AZ486" s="178">
        <f t="shared" ref="AZ486:BH514" si="501">2*(S486*AO486/100)</f>
        <v>0.02</v>
      </c>
      <c r="BA486" s="178">
        <f t="shared" si="501"/>
        <v>0.02</v>
      </c>
      <c r="BB486" s="178">
        <f t="shared" si="501"/>
        <v>0.02</v>
      </c>
      <c r="BC486" s="178">
        <f t="shared" si="501"/>
        <v>2.2000000000000002E-2</v>
      </c>
      <c r="BD486" s="178">
        <f t="shared" si="501"/>
        <v>2.4E-2</v>
      </c>
      <c r="BE486" s="178">
        <f t="shared" si="501"/>
        <v>2.6000000000000002E-2</v>
      </c>
      <c r="BF486" s="178">
        <f t="shared" si="501"/>
        <v>2.6000000000000002E-2</v>
      </c>
      <c r="BG486" s="178">
        <f t="shared" si="501"/>
        <v>2.7999999999999997E-2</v>
      </c>
      <c r="BH486" s="178">
        <f t="shared" si="501"/>
        <v>2.6000000000000002E-2</v>
      </c>
      <c r="BI486" s="191"/>
      <c r="BJ486" s="191"/>
      <c r="BK486" s="191"/>
      <c r="BL486" s="191"/>
      <c r="BM486" s="191"/>
      <c r="BN486" s="191"/>
      <c r="BO486" s="191"/>
      <c r="BP486" s="191"/>
    </row>
    <row r="487" spans="2:68" s="108" customFormat="1" x14ac:dyDescent="0.25">
      <c r="B487" s="107"/>
      <c r="E487" s="109" t="s">
        <v>0</v>
      </c>
      <c r="F487" s="110" t="s">
        <v>67</v>
      </c>
      <c r="G487" s="111" t="s">
        <v>54</v>
      </c>
      <c r="H487" s="112">
        <v>48268</v>
      </c>
      <c r="I487" s="112">
        <v>42192</v>
      </c>
      <c r="J487" s="112">
        <v>42481</v>
      </c>
      <c r="K487" s="112">
        <v>43708</v>
      </c>
      <c r="L487" s="112">
        <v>36864</v>
      </c>
      <c r="M487" s="112">
        <v>29038</v>
      </c>
      <c r="N487" s="112">
        <v>24346</v>
      </c>
      <c r="O487" s="112">
        <v>21451</v>
      </c>
      <c r="P487" s="112">
        <v>18835</v>
      </c>
      <c r="R487" s="111" t="s">
        <v>54</v>
      </c>
      <c r="S487" s="220">
        <v>9.1</v>
      </c>
      <c r="T487" s="220">
        <v>9.9</v>
      </c>
      <c r="U487" s="220">
        <v>9.9</v>
      </c>
      <c r="V487" s="220">
        <v>10.8</v>
      </c>
      <c r="W487" s="220">
        <v>13.2</v>
      </c>
      <c r="X487" s="220">
        <v>17.5</v>
      </c>
      <c r="Y487" s="220">
        <v>17.8</v>
      </c>
      <c r="Z487" s="220">
        <v>17.899999999999999</v>
      </c>
      <c r="AA487" s="220">
        <v>18.7</v>
      </c>
      <c r="AC487" s="111" t="s">
        <v>54</v>
      </c>
      <c r="AD487" s="112">
        <f>2*(H487*S487/100)</f>
        <v>8784.7759999999998</v>
      </c>
      <c r="AE487" s="112">
        <f t="shared" si="499"/>
        <v>8354.0159999999996</v>
      </c>
      <c r="AF487" s="112">
        <f t="shared" si="499"/>
        <v>8411.2380000000012</v>
      </c>
      <c r="AG487" s="112">
        <f t="shared" si="499"/>
        <v>9440.9279999999999</v>
      </c>
      <c r="AH487" s="112">
        <f t="shared" si="499"/>
        <v>9732.0959999999995</v>
      </c>
      <c r="AI487" s="112">
        <f t="shared" si="499"/>
        <v>10163.299999999999</v>
      </c>
      <c r="AJ487" s="112">
        <f t="shared" si="499"/>
        <v>8667.1759999999995</v>
      </c>
      <c r="AK487" s="112">
        <f t="shared" si="499"/>
        <v>7679.4579999999996</v>
      </c>
      <c r="AL487" s="112">
        <f t="shared" si="499"/>
        <v>7044.29</v>
      </c>
      <c r="AN487" s="111" t="s">
        <v>54</v>
      </c>
      <c r="AO487" s="113">
        <f t="shared" ref="AO487:AW487" si="502">H487/H486</f>
        <v>0.11620231162384233</v>
      </c>
      <c r="AP487" s="113">
        <f t="shared" si="502"/>
        <v>9.9401124246693465E-2</v>
      </c>
      <c r="AQ487" s="113">
        <f t="shared" si="502"/>
        <v>9.9860133284752184E-2</v>
      </c>
      <c r="AR487" s="113">
        <f t="shared" si="502"/>
        <v>0.10277464258841235</v>
      </c>
      <c r="AS487" s="113">
        <f t="shared" si="502"/>
        <v>8.6437411192031549E-2</v>
      </c>
      <c r="AT487" s="113">
        <f t="shared" si="502"/>
        <v>7.0816963098992061E-2</v>
      </c>
      <c r="AU487" s="113">
        <f t="shared" si="502"/>
        <v>6.0384490417502719E-2</v>
      </c>
      <c r="AV487" s="113">
        <f t="shared" si="502"/>
        <v>5.2533747379557613E-2</v>
      </c>
      <c r="AW487" s="113">
        <f t="shared" si="502"/>
        <v>4.7059499597739342E-2</v>
      </c>
      <c r="AY487" s="111" t="s">
        <v>54</v>
      </c>
      <c r="AZ487" s="179">
        <f t="shared" si="501"/>
        <v>2.1148820715539304E-2</v>
      </c>
      <c r="BA487" s="179">
        <f t="shared" si="501"/>
        <v>1.9681422600845308E-2</v>
      </c>
      <c r="BB487" s="179">
        <f t="shared" si="501"/>
        <v>1.9772306390380932E-2</v>
      </c>
      <c r="BC487" s="179">
        <f t="shared" si="501"/>
        <v>2.219932279909707E-2</v>
      </c>
      <c r="BD487" s="179">
        <f t="shared" si="501"/>
        <v>2.2819476554696329E-2</v>
      </c>
      <c r="BE487" s="179">
        <f t="shared" si="501"/>
        <v>2.4785937084647221E-2</v>
      </c>
      <c r="BF487" s="179">
        <f t="shared" si="501"/>
        <v>2.1496878588630967E-2</v>
      </c>
      <c r="BG487" s="179">
        <f t="shared" si="501"/>
        <v>1.8807081561881624E-2</v>
      </c>
      <c r="BH487" s="179">
        <f t="shared" si="501"/>
        <v>1.7600252849554514E-2</v>
      </c>
    </row>
    <row r="488" spans="2:68" s="108" customFormat="1" x14ac:dyDescent="0.25">
      <c r="B488" s="107"/>
      <c r="E488" s="109" t="s">
        <v>0</v>
      </c>
      <c r="F488" s="110" t="s">
        <v>67</v>
      </c>
      <c r="G488" s="111" t="s">
        <v>55</v>
      </c>
      <c r="H488" s="70">
        <v>12555</v>
      </c>
      <c r="I488" s="70">
        <v>9303</v>
      </c>
      <c r="J488" s="70">
        <v>8008</v>
      </c>
      <c r="K488" s="112" t="s">
        <v>129</v>
      </c>
      <c r="L488" s="70">
        <v>8825</v>
      </c>
      <c r="M488" s="112" t="s">
        <v>129</v>
      </c>
      <c r="N488" s="112" t="s">
        <v>129</v>
      </c>
      <c r="O488" s="112" t="s">
        <v>129</v>
      </c>
      <c r="P488" s="112" t="s">
        <v>129</v>
      </c>
      <c r="R488" s="111" t="s">
        <v>55</v>
      </c>
      <c r="S488" s="81">
        <v>16.5</v>
      </c>
      <c r="T488" s="81">
        <v>22</v>
      </c>
      <c r="U488" s="81">
        <v>23.3</v>
      </c>
      <c r="V488" s="81" t="s">
        <v>57</v>
      </c>
      <c r="W488" s="81">
        <v>28.2</v>
      </c>
      <c r="X488" s="81" t="s">
        <v>57</v>
      </c>
      <c r="Y488" s="81" t="s">
        <v>57</v>
      </c>
      <c r="Z488" s="81" t="s">
        <v>57</v>
      </c>
      <c r="AA488" s="81" t="s">
        <v>57</v>
      </c>
      <c r="AC488" s="111" t="s">
        <v>55</v>
      </c>
      <c r="AD488" s="70">
        <f t="shared" ref="AD488:AE525" si="503">2*(H488*S488/100)</f>
        <v>4143.1499999999996</v>
      </c>
      <c r="AE488" s="70">
        <f t="shared" si="499"/>
        <v>4093.32</v>
      </c>
      <c r="AF488" s="70">
        <f t="shared" si="499"/>
        <v>3731.7280000000001</v>
      </c>
      <c r="AG488" s="70" t="e">
        <f t="shared" si="499"/>
        <v>#VALUE!</v>
      </c>
      <c r="AH488" s="70">
        <f t="shared" si="499"/>
        <v>4977.3</v>
      </c>
      <c r="AI488" s="70" t="e">
        <f t="shared" si="499"/>
        <v>#VALUE!</v>
      </c>
      <c r="AJ488" s="70" t="e">
        <f t="shared" si="499"/>
        <v>#VALUE!</v>
      </c>
      <c r="AK488" s="70" t="e">
        <f t="shared" si="499"/>
        <v>#VALUE!</v>
      </c>
      <c r="AL488" s="70" t="e">
        <f t="shared" si="499"/>
        <v>#VALUE!</v>
      </c>
      <c r="AN488" s="111" t="s">
        <v>55</v>
      </c>
      <c r="AO488" s="113">
        <f t="shared" ref="AO488:AW488" si="504">H488/H486</f>
        <v>3.0225408602745925E-2</v>
      </c>
      <c r="AP488" s="113">
        <f t="shared" si="504"/>
        <v>2.191715630610043E-2</v>
      </c>
      <c r="AQ488" s="113">
        <f t="shared" si="504"/>
        <v>1.882441438158931E-2</v>
      </c>
      <c r="AR488" s="113" t="e">
        <f t="shared" si="504"/>
        <v>#VALUE!</v>
      </c>
      <c r="AS488" s="113">
        <f t="shared" si="504"/>
        <v>2.0692549744186155E-2</v>
      </c>
      <c r="AT488" s="113" t="e">
        <f t="shared" si="504"/>
        <v>#VALUE!</v>
      </c>
      <c r="AU488" s="113" t="e">
        <f t="shared" si="504"/>
        <v>#VALUE!</v>
      </c>
      <c r="AV488" s="113" t="e">
        <f t="shared" si="504"/>
        <v>#VALUE!</v>
      </c>
      <c r="AW488" s="113" t="e">
        <f t="shared" si="504"/>
        <v>#VALUE!</v>
      </c>
      <c r="AY488" s="111" t="s">
        <v>55</v>
      </c>
      <c r="AZ488" s="179">
        <f t="shared" si="501"/>
        <v>9.9743848389061557E-3</v>
      </c>
      <c r="BA488" s="179">
        <f t="shared" si="501"/>
        <v>9.6435487746841901E-3</v>
      </c>
      <c r="BB488" s="179">
        <f t="shared" si="501"/>
        <v>8.7721771018206187E-3</v>
      </c>
      <c r="BC488" s="179" t="e">
        <f t="shared" si="501"/>
        <v>#VALUE!</v>
      </c>
      <c r="BD488" s="179">
        <f t="shared" si="501"/>
        <v>1.1670598055720991E-2</v>
      </c>
      <c r="BE488" s="179" t="e">
        <f t="shared" si="501"/>
        <v>#VALUE!</v>
      </c>
      <c r="BF488" s="179" t="e">
        <f t="shared" si="501"/>
        <v>#VALUE!</v>
      </c>
      <c r="BG488" s="179" t="e">
        <f t="shared" si="501"/>
        <v>#VALUE!</v>
      </c>
      <c r="BH488" s="179" t="e">
        <f t="shared" si="501"/>
        <v>#VALUE!</v>
      </c>
    </row>
    <row r="489" spans="2:68" s="108" customFormat="1" x14ac:dyDescent="0.25">
      <c r="B489" s="107"/>
      <c r="E489" s="109" t="s">
        <v>0</v>
      </c>
      <c r="F489" s="110" t="s">
        <v>67</v>
      </c>
      <c r="G489" s="111" t="s">
        <v>130</v>
      </c>
      <c r="H489" s="70">
        <v>46265</v>
      </c>
      <c r="I489" s="70">
        <v>45530</v>
      </c>
      <c r="J489" s="70">
        <v>29625</v>
      </c>
      <c r="K489" s="70">
        <v>29685</v>
      </c>
      <c r="L489" s="70">
        <v>28706</v>
      </c>
      <c r="M489" s="70">
        <v>16940</v>
      </c>
      <c r="N489" s="70">
        <v>18156</v>
      </c>
      <c r="O489" s="112">
        <v>16425</v>
      </c>
      <c r="P489" s="112">
        <v>20761</v>
      </c>
      <c r="R489" s="111" t="s">
        <v>130</v>
      </c>
      <c r="S489" s="220">
        <v>8.1</v>
      </c>
      <c r="T489" s="220">
        <v>9.4</v>
      </c>
      <c r="U489" s="220">
        <v>12.9</v>
      </c>
      <c r="V489" s="220">
        <v>13.5</v>
      </c>
      <c r="W489" s="220">
        <v>15.6</v>
      </c>
      <c r="X489" s="220">
        <v>20.6</v>
      </c>
      <c r="Y489" s="220">
        <v>20.6</v>
      </c>
      <c r="Z489" s="220">
        <v>20.5</v>
      </c>
      <c r="AA489" s="220">
        <v>17.8</v>
      </c>
      <c r="AC489" s="111" t="s">
        <v>130</v>
      </c>
      <c r="AD489" s="70">
        <f t="shared" si="503"/>
        <v>7494.93</v>
      </c>
      <c r="AE489" s="70">
        <f t="shared" si="499"/>
        <v>8559.64</v>
      </c>
      <c r="AF489" s="70">
        <f t="shared" si="499"/>
        <v>7643.25</v>
      </c>
      <c r="AG489" s="70">
        <f t="shared" si="499"/>
        <v>8014.95</v>
      </c>
      <c r="AH489" s="70">
        <f t="shared" si="499"/>
        <v>8956.271999999999</v>
      </c>
      <c r="AI489" s="70">
        <f t="shared" si="499"/>
        <v>6979.28</v>
      </c>
      <c r="AJ489" s="70">
        <f t="shared" si="499"/>
        <v>7480.2720000000008</v>
      </c>
      <c r="AK489" s="70">
        <f t="shared" si="499"/>
        <v>6734.25</v>
      </c>
      <c r="AL489" s="70">
        <f t="shared" si="499"/>
        <v>7390.9160000000002</v>
      </c>
      <c r="AN489" s="111" t="s">
        <v>130</v>
      </c>
      <c r="AO489" s="113">
        <f t="shared" ref="AO489:AW489" si="505">H489/H486</f>
        <v>0.11138020939912706</v>
      </c>
      <c r="AP489" s="113">
        <f t="shared" si="505"/>
        <v>0.10726519688452676</v>
      </c>
      <c r="AQ489" s="113">
        <f t="shared" si="505"/>
        <v>6.9639519986836068E-2</v>
      </c>
      <c r="AR489" s="113">
        <f t="shared" si="505"/>
        <v>6.9801072234762979E-2</v>
      </c>
      <c r="AS489" s="113">
        <f t="shared" si="505"/>
        <v>6.7308819598482464E-2</v>
      </c>
      <c r="AT489" s="113">
        <f t="shared" si="505"/>
        <v>4.1312740371131806E-2</v>
      </c>
      <c r="AU489" s="113">
        <f t="shared" si="505"/>
        <v>4.5031660561085166E-2</v>
      </c>
      <c r="AV489" s="113">
        <f t="shared" si="505"/>
        <v>4.0225015183871789E-2</v>
      </c>
      <c r="AW489" s="113">
        <f t="shared" si="505"/>
        <v>5.187163637635607E-2</v>
      </c>
      <c r="AY489" s="111" t="s">
        <v>130</v>
      </c>
      <c r="AZ489" s="179">
        <f t="shared" si="501"/>
        <v>1.8043593922658582E-2</v>
      </c>
      <c r="BA489" s="179">
        <f t="shared" si="501"/>
        <v>2.0165857014291032E-2</v>
      </c>
      <c r="BB489" s="179">
        <f t="shared" si="501"/>
        <v>1.7966996156603705E-2</v>
      </c>
      <c r="BC489" s="179">
        <f t="shared" si="501"/>
        <v>1.8846289503386005E-2</v>
      </c>
      <c r="BD489" s="179">
        <f t="shared" si="501"/>
        <v>2.1000351714726525E-2</v>
      </c>
      <c r="BE489" s="179">
        <f t="shared" si="501"/>
        <v>1.7020849032906304E-2</v>
      </c>
      <c r="BF489" s="179">
        <f t="shared" si="501"/>
        <v>1.8553044151167087E-2</v>
      </c>
      <c r="BG489" s="179">
        <f t="shared" si="501"/>
        <v>1.6492256225387435E-2</v>
      </c>
      <c r="BH489" s="179">
        <f t="shared" si="501"/>
        <v>1.8466302549982761E-2</v>
      </c>
    </row>
    <row r="490" spans="2:68" s="108" customFormat="1" x14ac:dyDescent="0.25">
      <c r="B490" s="107"/>
      <c r="E490" s="109" t="s">
        <v>0</v>
      </c>
      <c r="F490" s="110" t="s">
        <v>67</v>
      </c>
      <c r="G490" s="111" t="s">
        <v>131</v>
      </c>
      <c r="H490" s="112">
        <v>308073</v>
      </c>
      <c r="I490" s="112">
        <v>327353</v>
      </c>
      <c r="J490" s="112">
        <v>345292</v>
      </c>
      <c r="K490" s="112">
        <v>345989</v>
      </c>
      <c r="L490" s="112">
        <v>352087</v>
      </c>
      <c r="M490" s="112">
        <v>355173</v>
      </c>
      <c r="N490" s="112">
        <v>356073</v>
      </c>
      <c r="O490" s="112">
        <v>366883</v>
      </c>
      <c r="P490" s="112">
        <v>359997</v>
      </c>
      <c r="R490" s="111" t="s">
        <v>131</v>
      </c>
      <c r="S490" s="220">
        <v>2</v>
      </c>
      <c r="T490" s="220">
        <v>2.1</v>
      </c>
      <c r="U490" s="220">
        <v>2.7</v>
      </c>
      <c r="V490" s="220">
        <v>3.8</v>
      </c>
      <c r="W490" s="220">
        <v>2.2999999999999998</v>
      </c>
      <c r="X490" s="220">
        <v>2.6</v>
      </c>
      <c r="Y490" s="220">
        <v>2.5</v>
      </c>
      <c r="Z490" s="220">
        <v>1.4</v>
      </c>
      <c r="AA490" s="220">
        <v>2.4</v>
      </c>
      <c r="AC490" s="111" t="s">
        <v>131</v>
      </c>
      <c r="AD490" s="112">
        <f t="shared" si="503"/>
        <v>12322.92</v>
      </c>
      <c r="AE490" s="112">
        <f t="shared" si="499"/>
        <v>13748.826000000001</v>
      </c>
      <c r="AF490" s="112">
        <f t="shared" si="499"/>
        <v>18645.768</v>
      </c>
      <c r="AG490" s="112">
        <f t="shared" si="499"/>
        <v>26295.164000000001</v>
      </c>
      <c r="AH490" s="112">
        <f t="shared" si="499"/>
        <v>16196.002</v>
      </c>
      <c r="AI490" s="112">
        <f t="shared" si="499"/>
        <v>18468.995999999999</v>
      </c>
      <c r="AJ490" s="112">
        <f t="shared" si="499"/>
        <v>17803.650000000001</v>
      </c>
      <c r="AK490" s="112">
        <f t="shared" si="499"/>
        <v>10272.723999999998</v>
      </c>
      <c r="AL490" s="112">
        <f t="shared" si="499"/>
        <v>17279.856</v>
      </c>
      <c r="AN490" s="111" t="s">
        <v>131</v>
      </c>
      <c r="AO490" s="113">
        <f t="shared" ref="AO490:AW490" si="506">H490/H486</f>
        <v>0.74166724846465515</v>
      </c>
      <c r="AP490" s="113">
        <f t="shared" si="506"/>
        <v>0.77121862498880933</v>
      </c>
      <c r="AQ490" s="113">
        <f t="shared" si="506"/>
        <v>0.811678283047919</v>
      </c>
      <c r="AR490" s="113">
        <f t="shared" si="506"/>
        <v>0.81355577501881116</v>
      </c>
      <c r="AS490" s="113">
        <f t="shared" si="506"/>
        <v>0.82556121946529981</v>
      </c>
      <c r="AT490" s="113">
        <f t="shared" si="506"/>
        <v>0.86618476598795735</v>
      </c>
      <c r="AU490" s="113">
        <f t="shared" si="506"/>
        <v>0.88315479571311295</v>
      </c>
      <c r="AV490" s="113">
        <f t="shared" si="506"/>
        <v>0.89850071511138108</v>
      </c>
      <c r="AW490" s="113">
        <f t="shared" si="506"/>
        <v>0.89945732289287872</v>
      </c>
      <c r="AY490" s="111" t="s">
        <v>131</v>
      </c>
      <c r="AZ490" s="179">
        <f t="shared" si="501"/>
        <v>2.9666689938586205E-2</v>
      </c>
      <c r="BA490" s="179">
        <f t="shared" si="501"/>
        <v>3.2391182249529991E-2</v>
      </c>
      <c r="BB490" s="179">
        <f t="shared" si="501"/>
        <v>4.3830627284587635E-2</v>
      </c>
      <c r="BC490" s="179">
        <f t="shared" si="501"/>
        <v>6.1830238901429642E-2</v>
      </c>
      <c r="BD490" s="179">
        <f t="shared" si="501"/>
        <v>3.7975816095403785E-2</v>
      </c>
      <c r="BE490" s="179">
        <f t="shared" si="501"/>
        <v>4.5041607831373787E-2</v>
      </c>
      <c r="BF490" s="179">
        <f t="shared" si="501"/>
        <v>4.4157739785655646E-2</v>
      </c>
      <c r="BG490" s="179">
        <f t="shared" si="501"/>
        <v>2.515802002311867E-2</v>
      </c>
      <c r="BH490" s="179">
        <f t="shared" si="501"/>
        <v>4.3173951498858179E-2</v>
      </c>
    </row>
    <row r="491" spans="2:68" s="87" customFormat="1" x14ac:dyDescent="0.25">
      <c r="B491" s="84"/>
      <c r="C491" s="85"/>
      <c r="D491" s="85"/>
      <c r="E491" s="109" t="s">
        <v>1</v>
      </c>
      <c r="F491" s="110" t="s">
        <v>67</v>
      </c>
      <c r="G491" s="195" t="s">
        <v>7</v>
      </c>
      <c r="H491" s="69">
        <v>530336</v>
      </c>
      <c r="I491" s="69">
        <v>540768</v>
      </c>
      <c r="J491" s="69">
        <v>561568</v>
      </c>
      <c r="K491" s="69">
        <v>592310</v>
      </c>
      <c r="L491" s="69">
        <v>620845</v>
      </c>
      <c r="M491" s="69">
        <v>638578</v>
      </c>
      <c r="N491" s="69">
        <v>626040</v>
      </c>
      <c r="O491" s="69">
        <v>581001</v>
      </c>
      <c r="P491" s="69">
        <v>612558</v>
      </c>
      <c r="R491" s="195" t="s">
        <v>7</v>
      </c>
      <c r="S491" s="226">
        <v>0.9</v>
      </c>
      <c r="T491" s="226">
        <v>0.9</v>
      </c>
      <c r="U491" s="226">
        <v>0.8</v>
      </c>
      <c r="V491" s="226">
        <v>1</v>
      </c>
      <c r="W491" s="226">
        <v>1.1000000000000001</v>
      </c>
      <c r="X491" s="226">
        <v>1.3</v>
      </c>
      <c r="Y491" s="226">
        <v>1</v>
      </c>
      <c r="Z491" s="226">
        <v>1.2</v>
      </c>
      <c r="AA491" s="226">
        <v>0.9</v>
      </c>
      <c r="AC491" s="195" t="s">
        <v>7</v>
      </c>
      <c r="AD491" s="69">
        <f t="shared" si="503"/>
        <v>9546.0480000000007</v>
      </c>
      <c r="AE491" s="69">
        <f t="shared" si="499"/>
        <v>9733.8240000000005</v>
      </c>
      <c r="AF491" s="69">
        <f t="shared" si="499"/>
        <v>8985.0879999999997</v>
      </c>
      <c r="AG491" s="69">
        <f t="shared" si="499"/>
        <v>11846.2</v>
      </c>
      <c r="AH491" s="69">
        <f t="shared" si="499"/>
        <v>13658.59</v>
      </c>
      <c r="AI491" s="69">
        <f t="shared" si="499"/>
        <v>16603.028000000002</v>
      </c>
      <c r="AJ491" s="69">
        <f t="shared" si="499"/>
        <v>12520.8</v>
      </c>
      <c r="AK491" s="69">
        <f t="shared" si="499"/>
        <v>13944.023999999999</v>
      </c>
      <c r="AL491" s="69">
        <f t="shared" si="499"/>
        <v>11026.044000000002</v>
      </c>
      <c r="AN491" s="195" t="s">
        <v>7</v>
      </c>
      <c r="AO491" s="98">
        <f t="shared" ref="AO491:AW491" si="507">H491/H491</f>
        <v>1</v>
      </c>
      <c r="AP491" s="98">
        <f t="shared" si="507"/>
        <v>1</v>
      </c>
      <c r="AQ491" s="98">
        <f t="shared" si="507"/>
        <v>1</v>
      </c>
      <c r="AR491" s="98">
        <f t="shared" si="507"/>
        <v>1</v>
      </c>
      <c r="AS491" s="98">
        <f t="shared" si="507"/>
        <v>1</v>
      </c>
      <c r="AT491" s="98">
        <f t="shared" si="507"/>
        <v>1</v>
      </c>
      <c r="AU491" s="98">
        <f t="shared" si="507"/>
        <v>1</v>
      </c>
      <c r="AV491" s="98">
        <f t="shared" si="507"/>
        <v>1</v>
      </c>
      <c r="AW491" s="98">
        <f t="shared" si="507"/>
        <v>1</v>
      </c>
      <c r="AX491" s="191"/>
      <c r="AY491" s="195" t="s">
        <v>7</v>
      </c>
      <c r="AZ491" s="178">
        <f t="shared" si="501"/>
        <v>1.8000000000000002E-2</v>
      </c>
      <c r="BA491" s="178">
        <f t="shared" si="501"/>
        <v>1.8000000000000002E-2</v>
      </c>
      <c r="BB491" s="178">
        <f t="shared" si="501"/>
        <v>1.6E-2</v>
      </c>
      <c r="BC491" s="178">
        <f t="shared" si="501"/>
        <v>0.02</v>
      </c>
      <c r="BD491" s="178">
        <f t="shared" si="501"/>
        <v>2.2000000000000002E-2</v>
      </c>
      <c r="BE491" s="178">
        <f t="shared" si="501"/>
        <v>2.6000000000000002E-2</v>
      </c>
      <c r="BF491" s="178">
        <f t="shared" si="501"/>
        <v>0.02</v>
      </c>
      <c r="BG491" s="178">
        <f t="shared" si="501"/>
        <v>2.4E-2</v>
      </c>
      <c r="BH491" s="178">
        <f t="shared" si="501"/>
        <v>1.8000000000000002E-2</v>
      </c>
      <c r="BI491" s="191"/>
      <c r="BJ491" s="191"/>
      <c r="BK491" s="191"/>
      <c r="BL491" s="191"/>
      <c r="BM491" s="191"/>
      <c r="BN491" s="191"/>
      <c r="BO491" s="191"/>
      <c r="BP491" s="191"/>
    </row>
    <row r="492" spans="2:68" s="108" customFormat="1" x14ac:dyDescent="0.25">
      <c r="B492" s="107"/>
      <c r="E492" s="109" t="s">
        <v>1</v>
      </c>
      <c r="F492" s="110" t="s">
        <v>67</v>
      </c>
      <c r="G492" s="111" t="s">
        <v>54</v>
      </c>
      <c r="H492" s="112">
        <v>155105</v>
      </c>
      <c r="I492" s="112">
        <v>149512</v>
      </c>
      <c r="J492" s="112">
        <v>159154</v>
      </c>
      <c r="K492" s="112">
        <v>150840</v>
      </c>
      <c r="L492" s="112">
        <v>138870</v>
      </c>
      <c r="M492" s="112">
        <v>135165</v>
      </c>
      <c r="N492" s="112">
        <v>131420</v>
      </c>
      <c r="O492" s="112">
        <v>115670</v>
      </c>
      <c r="P492" s="112">
        <v>103375</v>
      </c>
      <c r="R492" s="111" t="s">
        <v>54</v>
      </c>
      <c r="S492" s="220">
        <v>4.5</v>
      </c>
      <c r="T492" s="220">
        <v>5.0999999999999996</v>
      </c>
      <c r="U492" s="220">
        <v>4.7</v>
      </c>
      <c r="V492" s="220">
        <v>5.5</v>
      </c>
      <c r="W492" s="220">
        <v>5.9</v>
      </c>
      <c r="X492" s="220">
        <v>7.2</v>
      </c>
      <c r="Y492" s="220">
        <v>7.2</v>
      </c>
      <c r="Z492" s="220">
        <v>7.7</v>
      </c>
      <c r="AA492" s="220">
        <v>7.5</v>
      </c>
      <c r="AC492" s="111" t="s">
        <v>54</v>
      </c>
      <c r="AD492" s="112">
        <f t="shared" si="503"/>
        <v>13959.45</v>
      </c>
      <c r="AE492" s="112">
        <f t="shared" si="499"/>
        <v>15250.223999999998</v>
      </c>
      <c r="AF492" s="112">
        <f t="shared" si="499"/>
        <v>14960.476000000001</v>
      </c>
      <c r="AG492" s="112">
        <f t="shared" si="499"/>
        <v>16592.400000000001</v>
      </c>
      <c r="AH492" s="112">
        <f t="shared" si="499"/>
        <v>16386.66</v>
      </c>
      <c r="AI492" s="112">
        <f t="shared" si="499"/>
        <v>19463.759999999998</v>
      </c>
      <c r="AJ492" s="112">
        <f t="shared" si="499"/>
        <v>18924.48</v>
      </c>
      <c r="AK492" s="112">
        <f t="shared" si="499"/>
        <v>17813.18</v>
      </c>
      <c r="AL492" s="112">
        <f t="shared" si="499"/>
        <v>15506.25</v>
      </c>
      <c r="AN492" s="111" t="s">
        <v>54</v>
      </c>
      <c r="AO492" s="113">
        <f t="shared" ref="AO492:AW492" si="508">H492/H491</f>
        <v>0.29246553128582636</v>
      </c>
      <c r="AP492" s="113">
        <f t="shared" si="508"/>
        <v>0.27648085685543522</v>
      </c>
      <c r="AQ492" s="113">
        <f t="shared" si="508"/>
        <v>0.28341002336315457</v>
      </c>
      <c r="AR492" s="113">
        <f t="shared" si="508"/>
        <v>0.25466394286775507</v>
      </c>
      <c r="AS492" s="113">
        <f t="shared" si="508"/>
        <v>0.22367901811241131</v>
      </c>
      <c r="AT492" s="113">
        <f t="shared" si="508"/>
        <v>0.21166560702059889</v>
      </c>
      <c r="AU492" s="113">
        <f t="shared" si="508"/>
        <v>0.2099226886460929</v>
      </c>
      <c r="AV492" s="113">
        <f t="shared" si="508"/>
        <v>0.19908743702678652</v>
      </c>
      <c r="AW492" s="113">
        <f t="shared" si="508"/>
        <v>0.16875952970983973</v>
      </c>
      <c r="AY492" s="111" t="s">
        <v>54</v>
      </c>
      <c r="AZ492" s="179">
        <f t="shared" si="501"/>
        <v>2.6321897815724374E-2</v>
      </c>
      <c r="BA492" s="179">
        <f t="shared" si="501"/>
        <v>2.820104739925439E-2</v>
      </c>
      <c r="BB492" s="179">
        <f t="shared" si="501"/>
        <v>2.664054219613653E-2</v>
      </c>
      <c r="BC492" s="179">
        <f t="shared" si="501"/>
        <v>2.8013033715453054E-2</v>
      </c>
      <c r="BD492" s="179">
        <f t="shared" si="501"/>
        <v>2.6394124137264538E-2</v>
      </c>
      <c r="BE492" s="179">
        <f t="shared" si="501"/>
        <v>3.0479847410966241E-2</v>
      </c>
      <c r="BF492" s="179">
        <f t="shared" si="501"/>
        <v>3.0228867165037379E-2</v>
      </c>
      <c r="BG492" s="179">
        <f t="shared" si="501"/>
        <v>3.0659465302125124E-2</v>
      </c>
      <c r="BH492" s="179">
        <f t="shared" si="501"/>
        <v>2.531392945647596E-2</v>
      </c>
    </row>
    <row r="493" spans="2:68" s="108" customFormat="1" x14ac:dyDescent="0.25">
      <c r="B493" s="107"/>
      <c r="E493" s="109" t="s">
        <v>1</v>
      </c>
      <c r="F493" s="110" t="s">
        <v>67</v>
      </c>
      <c r="G493" s="111" t="s">
        <v>55</v>
      </c>
      <c r="H493" s="70">
        <v>71515</v>
      </c>
      <c r="I493" s="70">
        <v>79261</v>
      </c>
      <c r="J493" s="70">
        <v>70577</v>
      </c>
      <c r="K493" s="70">
        <v>79269</v>
      </c>
      <c r="L493" s="70">
        <v>79264</v>
      </c>
      <c r="M493" s="70">
        <v>57279</v>
      </c>
      <c r="N493" s="70">
        <v>55375</v>
      </c>
      <c r="O493" s="112">
        <v>39459</v>
      </c>
      <c r="P493" s="112">
        <v>53469</v>
      </c>
      <c r="R493" s="111" t="s">
        <v>55</v>
      </c>
      <c r="S493" s="81">
        <v>6.5</v>
      </c>
      <c r="T493" s="81">
        <v>7.3</v>
      </c>
      <c r="U493" s="81">
        <v>7.5</v>
      </c>
      <c r="V493" s="81">
        <v>7.6</v>
      </c>
      <c r="W493" s="81">
        <v>8.8000000000000007</v>
      </c>
      <c r="X493" s="81">
        <v>12.4</v>
      </c>
      <c r="Y493" s="81">
        <v>11.8</v>
      </c>
      <c r="Z493" s="81">
        <v>13.7</v>
      </c>
      <c r="AA493" s="81">
        <v>11.2</v>
      </c>
      <c r="AC493" s="111" t="s">
        <v>55</v>
      </c>
      <c r="AD493" s="70">
        <f t="shared" si="503"/>
        <v>9296.9500000000007</v>
      </c>
      <c r="AE493" s="70">
        <f t="shared" si="499"/>
        <v>11572.105999999998</v>
      </c>
      <c r="AF493" s="70">
        <f t="shared" si="499"/>
        <v>10586.55</v>
      </c>
      <c r="AG493" s="70">
        <f t="shared" si="499"/>
        <v>12048.888000000001</v>
      </c>
      <c r="AH493" s="70">
        <f t="shared" si="499"/>
        <v>13950.464000000002</v>
      </c>
      <c r="AI493" s="70">
        <f t="shared" si="499"/>
        <v>14205.191999999999</v>
      </c>
      <c r="AJ493" s="70">
        <f t="shared" si="499"/>
        <v>13068.5</v>
      </c>
      <c r="AK493" s="70">
        <f t="shared" si="499"/>
        <v>10811.765999999998</v>
      </c>
      <c r="AL493" s="70">
        <f t="shared" si="499"/>
        <v>11977.055999999999</v>
      </c>
      <c r="AN493" s="111" t="s">
        <v>55</v>
      </c>
      <c r="AO493" s="113">
        <f t="shared" ref="AO493:AW493" si="509">H493/H491</f>
        <v>0.13484847342062389</v>
      </c>
      <c r="AP493" s="113">
        <f t="shared" si="509"/>
        <v>0.14657117285046453</v>
      </c>
      <c r="AQ493" s="113">
        <f t="shared" si="509"/>
        <v>0.12567845746196366</v>
      </c>
      <c r="AR493" s="113">
        <f t="shared" si="509"/>
        <v>0.13383025780419036</v>
      </c>
      <c r="AS493" s="113">
        <f t="shared" si="509"/>
        <v>0.12767115785743624</v>
      </c>
      <c r="AT493" s="113">
        <f t="shared" si="509"/>
        <v>8.9697734654184763E-2</v>
      </c>
      <c r="AU493" s="113">
        <f t="shared" si="509"/>
        <v>8.8452814516644301E-2</v>
      </c>
      <c r="AV493" s="113">
        <f t="shared" si="509"/>
        <v>6.7915545756375637E-2</v>
      </c>
      <c r="AW493" s="113">
        <f t="shared" si="509"/>
        <v>8.7288060885663071E-2</v>
      </c>
      <c r="AY493" s="111" t="s">
        <v>55</v>
      </c>
      <c r="AZ493" s="179">
        <f t="shared" si="501"/>
        <v>1.7530301544681107E-2</v>
      </c>
      <c r="BA493" s="179">
        <f t="shared" si="501"/>
        <v>2.1399391236167822E-2</v>
      </c>
      <c r="BB493" s="179">
        <f t="shared" si="501"/>
        <v>1.8851768619294548E-2</v>
      </c>
      <c r="BC493" s="179">
        <f t="shared" si="501"/>
        <v>2.0342199186236934E-2</v>
      </c>
      <c r="BD493" s="179">
        <f t="shared" si="501"/>
        <v>2.2470123782908781E-2</v>
      </c>
      <c r="BE493" s="179">
        <f t="shared" si="501"/>
        <v>2.2245038194237822E-2</v>
      </c>
      <c r="BF493" s="179">
        <f t="shared" si="501"/>
        <v>2.0874864225928057E-2</v>
      </c>
      <c r="BG493" s="179">
        <f t="shared" si="501"/>
        <v>1.8608859537246926E-2</v>
      </c>
      <c r="BH493" s="179">
        <f t="shared" si="501"/>
        <v>1.9552525638388527E-2</v>
      </c>
    </row>
    <row r="494" spans="2:68" s="108" customFormat="1" x14ac:dyDescent="0.25">
      <c r="B494" s="107"/>
      <c r="E494" s="109" t="s">
        <v>1</v>
      </c>
      <c r="F494" s="110" t="s">
        <v>67</v>
      </c>
      <c r="G494" s="111" t="s">
        <v>130</v>
      </c>
      <c r="H494" s="70">
        <v>78516</v>
      </c>
      <c r="I494" s="70">
        <v>76572</v>
      </c>
      <c r="J494" s="70">
        <v>80772</v>
      </c>
      <c r="K494" s="70">
        <v>86148</v>
      </c>
      <c r="L494" s="70">
        <v>86593</v>
      </c>
      <c r="M494" s="70">
        <v>105845</v>
      </c>
      <c r="N494" s="70">
        <v>86858</v>
      </c>
      <c r="O494" s="112">
        <v>88465</v>
      </c>
      <c r="P494" s="112">
        <v>84802</v>
      </c>
      <c r="R494" s="111" t="s">
        <v>130</v>
      </c>
      <c r="S494" s="220">
        <v>6.1</v>
      </c>
      <c r="T494" s="220">
        <v>7.3</v>
      </c>
      <c r="U494" s="220">
        <v>7.2</v>
      </c>
      <c r="V494" s="220">
        <v>6.9</v>
      </c>
      <c r="W494" s="220">
        <v>8.1999999999999993</v>
      </c>
      <c r="X494" s="220">
        <v>8.3000000000000007</v>
      </c>
      <c r="Y494" s="220">
        <v>9</v>
      </c>
      <c r="Z494" s="220">
        <v>8.3000000000000007</v>
      </c>
      <c r="AA494" s="220">
        <v>8.6</v>
      </c>
      <c r="AC494" s="111" t="s">
        <v>130</v>
      </c>
      <c r="AD494" s="70">
        <f t="shared" si="503"/>
        <v>9578.9519999999993</v>
      </c>
      <c r="AE494" s="70">
        <f t="shared" si="499"/>
        <v>11179.511999999999</v>
      </c>
      <c r="AF494" s="70">
        <f t="shared" si="499"/>
        <v>11631.168</v>
      </c>
      <c r="AG494" s="70">
        <f t="shared" si="499"/>
        <v>11888.424000000001</v>
      </c>
      <c r="AH494" s="70">
        <f t="shared" si="499"/>
        <v>14201.252</v>
      </c>
      <c r="AI494" s="70">
        <f t="shared" si="499"/>
        <v>17570.270000000004</v>
      </c>
      <c r="AJ494" s="70">
        <f t="shared" si="499"/>
        <v>15634.44</v>
      </c>
      <c r="AK494" s="70">
        <f t="shared" si="499"/>
        <v>14685.190000000002</v>
      </c>
      <c r="AL494" s="70">
        <f t="shared" si="499"/>
        <v>14585.944</v>
      </c>
      <c r="AN494" s="111" t="s">
        <v>130</v>
      </c>
      <c r="AO494" s="113">
        <f t="shared" ref="AO494:AW494" si="510">H494/H491</f>
        <v>0.14804953840584081</v>
      </c>
      <c r="AP494" s="113">
        <f t="shared" si="510"/>
        <v>0.14159861530268064</v>
      </c>
      <c r="AQ494" s="113">
        <f t="shared" si="510"/>
        <v>0.14383298193629265</v>
      </c>
      <c r="AR494" s="113">
        <f t="shared" si="510"/>
        <v>0.14544410865931692</v>
      </c>
      <c r="AS494" s="113">
        <f t="shared" si="510"/>
        <v>0.13947603669192793</v>
      </c>
      <c r="AT494" s="113">
        <f t="shared" si="510"/>
        <v>0.1657510907046594</v>
      </c>
      <c r="AU494" s="113">
        <f t="shared" si="510"/>
        <v>0.13874193342278449</v>
      </c>
      <c r="AV494" s="113">
        <f t="shared" si="510"/>
        <v>0.15226307699986746</v>
      </c>
      <c r="AW494" s="113">
        <f t="shared" si="510"/>
        <v>0.13843913555940826</v>
      </c>
      <c r="AY494" s="111" t="s">
        <v>130</v>
      </c>
      <c r="AZ494" s="179">
        <f t="shared" si="501"/>
        <v>1.8062043685512577E-2</v>
      </c>
      <c r="BA494" s="179">
        <f t="shared" si="501"/>
        <v>2.0673397834191372E-2</v>
      </c>
      <c r="BB494" s="179">
        <f t="shared" si="501"/>
        <v>2.0711949398826143E-2</v>
      </c>
      <c r="BC494" s="179">
        <f t="shared" si="501"/>
        <v>2.0071286994985737E-2</v>
      </c>
      <c r="BD494" s="179">
        <f t="shared" si="501"/>
        <v>2.287407001747618E-2</v>
      </c>
      <c r="BE494" s="179">
        <f t="shared" si="501"/>
        <v>2.7514681056973463E-2</v>
      </c>
      <c r="BF494" s="179">
        <f t="shared" si="501"/>
        <v>2.4973548016101205E-2</v>
      </c>
      <c r="BG494" s="179">
        <f t="shared" si="501"/>
        <v>2.5275670781978E-2</v>
      </c>
      <c r="BH494" s="179">
        <f t="shared" si="501"/>
        <v>2.3811531316218222E-2</v>
      </c>
    </row>
    <row r="495" spans="2:68" s="108" customFormat="1" x14ac:dyDescent="0.25">
      <c r="B495" s="107"/>
      <c r="E495" s="109" t="s">
        <v>1</v>
      </c>
      <c r="F495" s="110" t="s">
        <v>67</v>
      </c>
      <c r="G495" s="111" t="s">
        <v>131</v>
      </c>
      <c r="H495" s="112">
        <v>224895</v>
      </c>
      <c r="I495" s="112">
        <v>235423</v>
      </c>
      <c r="J495" s="112">
        <v>251064</v>
      </c>
      <c r="K495" s="112">
        <v>276053</v>
      </c>
      <c r="L495" s="112">
        <v>316117</v>
      </c>
      <c r="M495" s="112">
        <v>340289</v>
      </c>
      <c r="N495" s="112">
        <v>352387</v>
      </c>
      <c r="O495" s="112">
        <v>337407</v>
      </c>
      <c r="P495" s="112">
        <v>370912</v>
      </c>
      <c r="R495" s="111" t="s">
        <v>131</v>
      </c>
      <c r="S495" s="220">
        <v>3.5</v>
      </c>
      <c r="T495" s="220">
        <v>3.2</v>
      </c>
      <c r="U495" s="220">
        <v>3.2</v>
      </c>
      <c r="V495" s="220">
        <v>4.2</v>
      </c>
      <c r="W495" s="220">
        <v>3.3</v>
      </c>
      <c r="X495" s="220">
        <v>3.7</v>
      </c>
      <c r="Y495" s="220">
        <v>3.4</v>
      </c>
      <c r="Z495" s="220">
        <v>3.4</v>
      </c>
      <c r="AA495" s="220">
        <v>2.4</v>
      </c>
      <c r="AC495" s="111" t="s">
        <v>131</v>
      </c>
      <c r="AD495" s="112">
        <f t="shared" si="503"/>
        <v>15742.65</v>
      </c>
      <c r="AE495" s="112">
        <f t="shared" si="499"/>
        <v>15067.072000000002</v>
      </c>
      <c r="AF495" s="112">
        <f t="shared" si="499"/>
        <v>16068.096000000001</v>
      </c>
      <c r="AG495" s="112">
        <f t="shared" si="499"/>
        <v>23188.452000000001</v>
      </c>
      <c r="AH495" s="112">
        <f t="shared" si="499"/>
        <v>20863.721999999998</v>
      </c>
      <c r="AI495" s="112">
        <f t="shared" si="499"/>
        <v>25181.386000000002</v>
      </c>
      <c r="AJ495" s="112">
        <f t="shared" si="499"/>
        <v>23962.316000000003</v>
      </c>
      <c r="AK495" s="112">
        <f t="shared" si="499"/>
        <v>22943.675999999999</v>
      </c>
      <c r="AL495" s="112">
        <f t="shared" si="499"/>
        <v>17803.775999999998</v>
      </c>
      <c r="AN495" s="111" t="s">
        <v>131</v>
      </c>
      <c r="AO495" s="113">
        <f t="shared" ref="AO495:AW495" si="511">H495/H491</f>
        <v>0.42406134978579618</v>
      </c>
      <c r="AP495" s="113">
        <f t="shared" si="511"/>
        <v>0.43534935499141963</v>
      </c>
      <c r="AQ495" s="113">
        <f t="shared" si="511"/>
        <v>0.44707675651034245</v>
      </c>
      <c r="AR495" s="113">
        <f t="shared" si="511"/>
        <v>0.46606169066873765</v>
      </c>
      <c r="AS495" s="113">
        <f t="shared" si="511"/>
        <v>0.50917217663023784</v>
      </c>
      <c r="AT495" s="113">
        <f t="shared" si="511"/>
        <v>0.53288556762055694</v>
      </c>
      <c r="AU495" s="113">
        <f t="shared" si="511"/>
        <v>0.56288256341447829</v>
      </c>
      <c r="AV495" s="113">
        <f t="shared" si="511"/>
        <v>0.58073394021697033</v>
      </c>
      <c r="AW495" s="113">
        <f t="shared" si="511"/>
        <v>0.60551327384508891</v>
      </c>
      <c r="AY495" s="111" t="s">
        <v>131</v>
      </c>
      <c r="AZ495" s="179">
        <f t="shared" si="501"/>
        <v>2.968429448500573E-2</v>
      </c>
      <c r="BA495" s="179">
        <f t="shared" si="501"/>
        <v>2.786235871945086E-2</v>
      </c>
      <c r="BB495" s="179">
        <f t="shared" si="501"/>
        <v>2.8612912416661921E-2</v>
      </c>
      <c r="BC495" s="179">
        <f t="shared" si="501"/>
        <v>3.9149182016173963E-2</v>
      </c>
      <c r="BD495" s="179">
        <f t="shared" si="501"/>
        <v>3.3605363657595692E-2</v>
      </c>
      <c r="BE495" s="179">
        <f t="shared" si="501"/>
        <v>3.9433532003921218E-2</v>
      </c>
      <c r="BF495" s="179">
        <f t="shared" si="501"/>
        <v>3.8276014312184518E-2</v>
      </c>
      <c r="BG495" s="179">
        <f t="shared" si="501"/>
        <v>3.948990793475398E-2</v>
      </c>
      <c r="BH495" s="179">
        <f t="shared" si="501"/>
        <v>2.9064637144564264E-2</v>
      </c>
    </row>
    <row r="496" spans="2:68" s="87" customFormat="1" x14ac:dyDescent="0.25">
      <c r="B496" s="84"/>
      <c r="C496" s="85"/>
      <c r="D496" s="85"/>
      <c r="E496" s="109" t="s">
        <v>2</v>
      </c>
      <c r="F496" s="110" t="s">
        <v>67</v>
      </c>
      <c r="G496" s="195" t="s">
        <v>7</v>
      </c>
      <c r="H496" s="69">
        <v>979850</v>
      </c>
      <c r="I496" s="69">
        <v>962369</v>
      </c>
      <c r="J496" s="69">
        <v>931852</v>
      </c>
      <c r="K496" s="69">
        <v>919853</v>
      </c>
      <c r="L496" s="69">
        <v>908046</v>
      </c>
      <c r="M496" s="69">
        <v>896728</v>
      </c>
      <c r="N496" s="69">
        <v>899894</v>
      </c>
      <c r="O496" s="69">
        <v>935105</v>
      </c>
      <c r="P496" s="69">
        <v>958577</v>
      </c>
      <c r="R496" s="195" t="s">
        <v>7</v>
      </c>
      <c r="S496" s="226">
        <v>0.7</v>
      </c>
      <c r="T496" s="226">
        <v>0.8</v>
      </c>
      <c r="U496" s="226">
        <v>0.7</v>
      </c>
      <c r="V496" s="226">
        <v>0.8</v>
      </c>
      <c r="W496" s="226">
        <v>0.9</v>
      </c>
      <c r="X496" s="226">
        <v>1</v>
      </c>
      <c r="Y496" s="226">
        <v>0.9</v>
      </c>
      <c r="Z496" s="226">
        <v>1</v>
      </c>
      <c r="AA496" s="226">
        <v>0.9</v>
      </c>
      <c r="AC496" s="195" t="s">
        <v>7</v>
      </c>
      <c r="AD496" s="69">
        <f t="shared" si="503"/>
        <v>13717.9</v>
      </c>
      <c r="AE496" s="69">
        <f t="shared" si="499"/>
        <v>15397.904000000002</v>
      </c>
      <c r="AF496" s="69">
        <f t="shared" si="499"/>
        <v>13045.927999999998</v>
      </c>
      <c r="AG496" s="69">
        <f t="shared" si="499"/>
        <v>14717.648000000001</v>
      </c>
      <c r="AH496" s="69">
        <f t="shared" si="499"/>
        <v>16344.828000000001</v>
      </c>
      <c r="AI496" s="69">
        <f t="shared" si="499"/>
        <v>17934.560000000001</v>
      </c>
      <c r="AJ496" s="69">
        <f t="shared" si="499"/>
        <v>16198.091999999999</v>
      </c>
      <c r="AK496" s="69">
        <f t="shared" si="499"/>
        <v>18702.099999999999</v>
      </c>
      <c r="AL496" s="69">
        <f t="shared" si="499"/>
        <v>17254.386000000002</v>
      </c>
      <c r="AN496" s="195" t="s">
        <v>7</v>
      </c>
      <c r="AO496" s="98">
        <f t="shared" ref="AO496:AW496" si="512">H496/H496</f>
        <v>1</v>
      </c>
      <c r="AP496" s="98">
        <f t="shared" si="512"/>
        <v>1</v>
      </c>
      <c r="AQ496" s="98">
        <f t="shared" si="512"/>
        <v>1</v>
      </c>
      <c r="AR496" s="98">
        <f t="shared" si="512"/>
        <v>1</v>
      </c>
      <c r="AS496" s="98">
        <f t="shared" si="512"/>
        <v>1</v>
      </c>
      <c r="AT496" s="98">
        <f t="shared" si="512"/>
        <v>1</v>
      </c>
      <c r="AU496" s="98">
        <f t="shared" si="512"/>
        <v>1</v>
      </c>
      <c r="AV496" s="98">
        <f t="shared" si="512"/>
        <v>1</v>
      </c>
      <c r="AW496" s="98">
        <f t="shared" si="512"/>
        <v>1</v>
      </c>
      <c r="AX496" s="191"/>
      <c r="AY496" s="195" t="s">
        <v>7</v>
      </c>
      <c r="AZ496" s="178">
        <f t="shared" si="501"/>
        <v>1.3999999999999999E-2</v>
      </c>
      <c r="BA496" s="178">
        <f t="shared" si="501"/>
        <v>1.6E-2</v>
      </c>
      <c r="BB496" s="178">
        <f t="shared" si="501"/>
        <v>1.3999999999999999E-2</v>
      </c>
      <c r="BC496" s="178">
        <f t="shared" si="501"/>
        <v>1.6E-2</v>
      </c>
      <c r="BD496" s="178">
        <f t="shared" si="501"/>
        <v>1.8000000000000002E-2</v>
      </c>
      <c r="BE496" s="178">
        <f t="shared" si="501"/>
        <v>0.02</v>
      </c>
      <c r="BF496" s="178">
        <f t="shared" si="501"/>
        <v>1.8000000000000002E-2</v>
      </c>
      <c r="BG496" s="178">
        <f t="shared" si="501"/>
        <v>0.02</v>
      </c>
      <c r="BH496" s="178">
        <f t="shared" si="501"/>
        <v>1.8000000000000002E-2</v>
      </c>
      <c r="BI496" s="191"/>
      <c r="BJ496" s="191"/>
      <c r="BK496" s="191"/>
      <c r="BL496" s="191"/>
      <c r="BM496" s="191"/>
      <c r="BN496" s="191"/>
      <c r="BO496" s="191"/>
      <c r="BP496" s="191"/>
    </row>
    <row r="497" spans="2:68" s="108" customFormat="1" x14ac:dyDescent="0.25">
      <c r="B497" s="107"/>
      <c r="E497" s="109" t="s">
        <v>2</v>
      </c>
      <c r="F497" s="110" t="s">
        <v>67</v>
      </c>
      <c r="G497" s="111" t="s">
        <v>54</v>
      </c>
      <c r="H497" s="112">
        <v>250569</v>
      </c>
      <c r="I497" s="112">
        <v>211225</v>
      </c>
      <c r="J497" s="112">
        <v>186009</v>
      </c>
      <c r="K497" s="112">
        <v>186755</v>
      </c>
      <c r="L497" s="112">
        <v>187606</v>
      </c>
      <c r="M497" s="112">
        <v>165865</v>
      </c>
      <c r="N497" s="112">
        <v>180427</v>
      </c>
      <c r="O497" s="112">
        <v>162481</v>
      </c>
      <c r="P497" s="112">
        <v>145176</v>
      </c>
      <c r="R497" s="111" t="s">
        <v>54</v>
      </c>
      <c r="S497" s="220">
        <v>3.5</v>
      </c>
      <c r="T497" s="220">
        <v>4.2</v>
      </c>
      <c r="U497" s="220">
        <v>4.7</v>
      </c>
      <c r="V497" s="220">
        <v>5.5</v>
      </c>
      <c r="W497" s="220">
        <v>5.9</v>
      </c>
      <c r="X497" s="220">
        <v>6.8</v>
      </c>
      <c r="Y497" s="220">
        <v>5.7</v>
      </c>
      <c r="Z497" s="220">
        <v>6.2</v>
      </c>
      <c r="AA497" s="220">
        <v>6.7</v>
      </c>
      <c r="AC497" s="111" t="s">
        <v>54</v>
      </c>
      <c r="AD497" s="112">
        <f t="shared" si="503"/>
        <v>17539.830000000002</v>
      </c>
      <c r="AE497" s="112">
        <f t="shared" si="499"/>
        <v>17742.900000000001</v>
      </c>
      <c r="AF497" s="112">
        <f t="shared" si="499"/>
        <v>17484.846000000001</v>
      </c>
      <c r="AG497" s="112">
        <f t="shared" si="499"/>
        <v>20543.05</v>
      </c>
      <c r="AH497" s="112">
        <f t="shared" si="499"/>
        <v>22137.508000000002</v>
      </c>
      <c r="AI497" s="112">
        <f t="shared" si="499"/>
        <v>22557.64</v>
      </c>
      <c r="AJ497" s="112">
        <f t="shared" si="499"/>
        <v>20568.678</v>
      </c>
      <c r="AK497" s="112">
        <f t="shared" si="499"/>
        <v>20147.644</v>
      </c>
      <c r="AL497" s="112">
        <f t="shared" si="499"/>
        <v>19453.584000000003</v>
      </c>
      <c r="AN497" s="111" t="s">
        <v>54</v>
      </c>
      <c r="AO497" s="113">
        <f t="shared" ref="AO497:AW497" si="513">H497/H496</f>
        <v>0.25572179415216617</v>
      </c>
      <c r="AP497" s="113">
        <f t="shared" si="513"/>
        <v>0.21948441813898828</v>
      </c>
      <c r="AQ497" s="113">
        <f t="shared" si="513"/>
        <v>0.19961217017294591</v>
      </c>
      <c r="AR497" s="113">
        <f t="shared" si="513"/>
        <v>0.20302700540195009</v>
      </c>
      <c r="AS497" s="113">
        <f t="shared" si="513"/>
        <v>0.20660407071888429</v>
      </c>
      <c r="AT497" s="113">
        <f t="shared" si="513"/>
        <v>0.18496690189221257</v>
      </c>
      <c r="AU497" s="113">
        <f t="shared" si="513"/>
        <v>0.2004980586602422</v>
      </c>
      <c r="AV497" s="113">
        <f t="shared" si="513"/>
        <v>0.17375695777479536</v>
      </c>
      <c r="AW497" s="113">
        <f t="shared" si="513"/>
        <v>0.1514494923203874</v>
      </c>
      <c r="AY497" s="111" t="s">
        <v>54</v>
      </c>
      <c r="AZ497" s="179">
        <f t="shared" si="501"/>
        <v>1.7900525590651632E-2</v>
      </c>
      <c r="BA497" s="179">
        <f t="shared" si="501"/>
        <v>1.8436691123675016E-2</v>
      </c>
      <c r="BB497" s="179">
        <f t="shared" si="501"/>
        <v>1.8763543996256918E-2</v>
      </c>
      <c r="BC497" s="179">
        <f t="shared" si="501"/>
        <v>2.2332970594214512E-2</v>
      </c>
      <c r="BD497" s="179">
        <f t="shared" si="501"/>
        <v>2.4379280344828346E-2</v>
      </c>
      <c r="BE497" s="179">
        <f t="shared" si="501"/>
        <v>2.5155498657340913E-2</v>
      </c>
      <c r="BF497" s="179">
        <f t="shared" si="501"/>
        <v>2.2856778687267612E-2</v>
      </c>
      <c r="BG497" s="179">
        <f t="shared" si="501"/>
        <v>2.1545862764074622E-2</v>
      </c>
      <c r="BH497" s="179">
        <f t="shared" si="501"/>
        <v>2.0294231970931911E-2</v>
      </c>
    </row>
    <row r="498" spans="2:68" s="108" customFormat="1" x14ac:dyDescent="0.25">
      <c r="B498" s="107"/>
      <c r="E498" s="109" t="s">
        <v>2</v>
      </c>
      <c r="F498" s="110" t="s">
        <v>67</v>
      </c>
      <c r="G498" s="111" t="s">
        <v>55</v>
      </c>
      <c r="H498" s="70">
        <v>237872</v>
      </c>
      <c r="I498" s="70">
        <v>233039</v>
      </c>
      <c r="J498" s="70">
        <v>217826</v>
      </c>
      <c r="K498" s="70">
        <v>213845</v>
      </c>
      <c r="L498" s="70">
        <v>192835</v>
      </c>
      <c r="M498" s="70">
        <v>211255</v>
      </c>
      <c r="N498" s="70">
        <v>192650</v>
      </c>
      <c r="O498" s="112">
        <v>207064</v>
      </c>
      <c r="P498" s="112">
        <v>212327</v>
      </c>
      <c r="R498" s="111" t="s">
        <v>55</v>
      </c>
      <c r="S498" s="81">
        <v>3.6</v>
      </c>
      <c r="T498" s="81">
        <v>4.2</v>
      </c>
      <c r="U498" s="81">
        <v>4.2</v>
      </c>
      <c r="V498" s="81">
        <v>4.4000000000000004</v>
      </c>
      <c r="W498" s="81">
        <v>5.9</v>
      </c>
      <c r="X498" s="81">
        <v>5.0999999999999996</v>
      </c>
      <c r="Y498" s="81">
        <v>6.5</v>
      </c>
      <c r="Z498" s="81">
        <v>5.2</v>
      </c>
      <c r="AA498" s="81">
        <v>5.2</v>
      </c>
      <c r="AC498" s="111" t="s">
        <v>55</v>
      </c>
      <c r="AD498" s="70">
        <f t="shared" si="503"/>
        <v>17126.784</v>
      </c>
      <c r="AE498" s="70">
        <f t="shared" si="499"/>
        <v>19575.276000000002</v>
      </c>
      <c r="AF498" s="70">
        <f t="shared" si="499"/>
        <v>18297.384000000002</v>
      </c>
      <c r="AG498" s="70">
        <f t="shared" si="499"/>
        <v>18818.36</v>
      </c>
      <c r="AH498" s="70">
        <f t="shared" si="499"/>
        <v>22754.53</v>
      </c>
      <c r="AI498" s="70">
        <f t="shared" si="499"/>
        <v>21548.01</v>
      </c>
      <c r="AJ498" s="70">
        <f t="shared" si="499"/>
        <v>25044.5</v>
      </c>
      <c r="AK498" s="70">
        <f t="shared" si="499"/>
        <v>21534.656000000003</v>
      </c>
      <c r="AL498" s="70">
        <f t="shared" si="499"/>
        <v>22082.008000000002</v>
      </c>
      <c r="AN498" s="111" t="s">
        <v>55</v>
      </c>
      <c r="AO498" s="113">
        <f t="shared" ref="AO498:AW498" si="514">H498/H496</f>
        <v>0.24276368831964076</v>
      </c>
      <c r="AP498" s="113">
        <f t="shared" si="514"/>
        <v>0.24215139930733429</v>
      </c>
      <c r="AQ498" s="113">
        <f t="shared" si="514"/>
        <v>0.23375600417233638</v>
      </c>
      <c r="AR498" s="113">
        <f t="shared" si="514"/>
        <v>0.23247736323086407</v>
      </c>
      <c r="AS498" s="113">
        <f t="shared" si="514"/>
        <v>0.21236258956044077</v>
      </c>
      <c r="AT498" s="113">
        <f t="shared" si="514"/>
        <v>0.23558425743369227</v>
      </c>
      <c r="AU498" s="113">
        <f t="shared" si="514"/>
        <v>0.21408076951285374</v>
      </c>
      <c r="AV498" s="113">
        <f t="shared" si="514"/>
        <v>0.22143395661449783</v>
      </c>
      <c r="AW498" s="113">
        <f t="shared" si="514"/>
        <v>0.2215022893309562</v>
      </c>
      <c r="AY498" s="111" t="s">
        <v>55</v>
      </c>
      <c r="AZ498" s="179">
        <f t="shared" si="501"/>
        <v>1.7478985559014136E-2</v>
      </c>
      <c r="BA498" s="179">
        <f t="shared" si="501"/>
        <v>2.0340717541816083E-2</v>
      </c>
      <c r="BB498" s="179">
        <f t="shared" si="501"/>
        <v>1.9635504350476257E-2</v>
      </c>
      <c r="BC498" s="179">
        <f t="shared" si="501"/>
        <v>2.045800796431604E-2</v>
      </c>
      <c r="BD498" s="179">
        <f t="shared" si="501"/>
        <v>2.5058785568132014E-2</v>
      </c>
      <c r="BE498" s="179">
        <f t="shared" si="501"/>
        <v>2.4029594258236607E-2</v>
      </c>
      <c r="BF498" s="179">
        <f t="shared" si="501"/>
        <v>2.7830500036670983E-2</v>
      </c>
      <c r="BG498" s="179">
        <f t="shared" si="501"/>
        <v>2.3029131487907778E-2</v>
      </c>
      <c r="BH498" s="179">
        <f t="shared" si="501"/>
        <v>2.3036238090419447E-2</v>
      </c>
    </row>
    <row r="499" spans="2:68" s="108" customFormat="1" x14ac:dyDescent="0.25">
      <c r="B499" s="107"/>
      <c r="E499" s="109" t="s">
        <v>2</v>
      </c>
      <c r="F499" s="110" t="s">
        <v>67</v>
      </c>
      <c r="G499" s="111" t="s">
        <v>130</v>
      </c>
      <c r="H499" s="70">
        <v>129980</v>
      </c>
      <c r="I499" s="70">
        <v>151988</v>
      </c>
      <c r="J499" s="70">
        <v>141585</v>
      </c>
      <c r="K499" s="70">
        <v>129150</v>
      </c>
      <c r="L499" s="70">
        <v>121544</v>
      </c>
      <c r="M499" s="70">
        <v>139436</v>
      </c>
      <c r="N499" s="70">
        <v>140751</v>
      </c>
      <c r="O499" s="112">
        <v>128686</v>
      </c>
      <c r="P499" s="112">
        <v>155901</v>
      </c>
      <c r="R499" s="111" t="s">
        <v>130</v>
      </c>
      <c r="S499" s="220">
        <v>4.9000000000000004</v>
      </c>
      <c r="T499" s="220">
        <v>5</v>
      </c>
      <c r="U499" s="220">
        <v>5.6</v>
      </c>
      <c r="V499" s="220">
        <v>5.9</v>
      </c>
      <c r="W499" s="220">
        <v>7.6</v>
      </c>
      <c r="X499" s="220">
        <v>6.9</v>
      </c>
      <c r="Y499" s="220">
        <v>7.4</v>
      </c>
      <c r="Z499" s="220">
        <v>7</v>
      </c>
      <c r="AA499" s="220">
        <v>6.1</v>
      </c>
      <c r="AC499" s="111" t="s">
        <v>130</v>
      </c>
      <c r="AD499" s="70">
        <f t="shared" si="503"/>
        <v>12738.04</v>
      </c>
      <c r="AE499" s="70">
        <f t="shared" si="499"/>
        <v>15198.8</v>
      </c>
      <c r="AF499" s="70">
        <f t="shared" si="499"/>
        <v>15857.52</v>
      </c>
      <c r="AG499" s="70">
        <f t="shared" si="499"/>
        <v>15239.7</v>
      </c>
      <c r="AH499" s="70">
        <f t="shared" si="499"/>
        <v>18474.687999999998</v>
      </c>
      <c r="AI499" s="70">
        <f t="shared" si="499"/>
        <v>19242.168000000001</v>
      </c>
      <c r="AJ499" s="70">
        <f t="shared" si="499"/>
        <v>20831.148000000001</v>
      </c>
      <c r="AK499" s="70">
        <f t="shared" si="499"/>
        <v>18016.04</v>
      </c>
      <c r="AL499" s="70">
        <f t="shared" si="499"/>
        <v>19019.921999999999</v>
      </c>
      <c r="AN499" s="111" t="s">
        <v>130</v>
      </c>
      <c r="AO499" s="113">
        <f t="shared" ref="AO499:AW499" si="515">H499/H496</f>
        <v>0.13265295708526814</v>
      </c>
      <c r="AP499" s="113">
        <f t="shared" si="515"/>
        <v>0.15793110542837518</v>
      </c>
      <c r="AQ499" s="113">
        <f t="shared" si="515"/>
        <v>0.15193936376162739</v>
      </c>
      <c r="AR499" s="113">
        <f t="shared" si="515"/>
        <v>0.14040286871924101</v>
      </c>
      <c r="AS499" s="113">
        <f t="shared" si="515"/>
        <v>0.13385224977589241</v>
      </c>
      <c r="AT499" s="113">
        <f t="shared" si="515"/>
        <v>0.15549419667948364</v>
      </c>
      <c r="AU499" s="113">
        <f t="shared" si="515"/>
        <v>0.15640842143630249</v>
      </c>
      <c r="AV499" s="113">
        <f t="shared" si="515"/>
        <v>0.13761663128739554</v>
      </c>
      <c r="AW499" s="113">
        <f t="shared" si="515"/>
        <v>0.16263795188075658</v>
      </c>
      <c r="AY499" s="111" t="s">
        <v>130</v>
      </c>
      <c r="AZ499" s="179">
        <f t="shared" si="501"/>
        <v>1.2999989794356279E-2</v>
      </c>
      <c r="BA499" s="179">
        <f t="shared" si="501"/>
        <v>1.5793110542837517E-2</v>
      </c>
      <c r="BB499" s="179">
        <f t="shared" si="501"/>
        <v>1.7017208741302269E-2</v>
      </c>
      <c r="BC499" s="179">
        <f t="shared" si="501"/>
        <v>1.6567538508870442E-2</v>
      </c>
      <c r="BD499" s="179">
        <f t="shared" si="501"/>
        <v>2.0345541965935646E-2</v>
      </c>
      <c r="BE499" s="179">
        <f t="shared" si="501"/>
        <v>2.145819914176874E-2</v>
      </c>
      <c r="BF499" s="179">
        <f t="shared" si="501"/>
        <v>2.3148446372572771E-2</v>
      </c>
      <c r="BG499" s="179">
        <f t="shared" si="501"/>
        <v>1.9266328380235377E-2</v>
      </c>
      <c r="BH499" s="179">
        <f t="shared" si="501"/>
        <v>1.9841830129452301E-2</v>
      </c>
    </row>
    <row r="500" spans="2:68" s="108" customFormat="1" x14ac:dyDescent="0.25">
      <c r="B500" s="107"/>
      <c r="E500" s="109" t="s">
        <v>2</v>
      </c>
      <c r="F500" s="110" t="s">
        <v>67</v>
      </c>
      <c r="G500" s="111" t="s">
        <v>131</v>
      </c>
      <c r="H500" s="112">
        <v>361323</v>
      </c>
      <c r="I500" s="112">
        <v>366116</v>
      </c>
      <c r="J500" s="112">
        <v>386046</v>
      </c>
      <c r="K500" s="112">
        <v>389951</v>
      </c>
      <c r="L500" s="112">
        <v>406062</v>
      </c>
      <c r="M500" s="112">
        <v>380172</v>
      </c>
      <c r="N500" s="112">
        <v>386066</v>
      </c>
      <c r="O500" s="112">
        <v>436874</v>
      </c>
      <c r="P500" s="112">
        <v>445173</v>
      </c>
      <c r="R500" s="111" t="s">
        <v>131</v>
      </c>
      <c r="S500" s="220">
        <v>2.8</v>
      </c>
      <c r="T500" s="220">
        <v>2.9</v>
      </c>
      <c r="U500" s="220">
        <v>2.8</v>
      </c>
      <c r="V500" s="220">
        <v>2.9</v>
      </c>
      <c r="W500" s="220">
        <v>3.1</v>
      </c>
      <c r="X500" s="220">
        <v>3.7</v>
      </c>
      <c r="Y500" s="220">
        <v>3.5</v>
      </c>
      <c r="Z500" s="220">
        <v>3.3</v>
      </c>
      <c r="AA500" s="220">
        <v>2.9</v>
      </c>
      <c r="AC500" s="111" t="s">
        <v>131</v>
      </c>
      <c r="AD500" s="112">
        <f t="shared" si="503"/>
        <v>20234.088</v>
      </c>
      <c r="AE500" s="112">
        <f t="shared" si="499"/>
        <v>21234.727999999999</v>
      </c>
      <c r="AF500" s="112">
        <f t="shared" si="499"/>
        <v>21618.576000000001</v>
      </c>
      <c r="AG500" s="112">
        <f t="shared" si="499"/>
        <v>22617.157999999999</v>
      </c>
      <c r="AH500" s="112">
        <f t="shared" si="499"/>
        <v>25175.843999999997</v>
      </c>
      <c r="AI500" s="112">
        <f t="shared" si="499"/>
        <v>28132.728000000003</v>
      </c>
      <c r="AJ500" s="112">
        <f t="shared" si="499"/>
        <v>27024.62</v>
      </c>
      <c r="AK500" s="112">
        <f t="shared" si="499"/>
        <v>28833.683999999997</v>
      </c>
      <c r="AL500" s="112">
        <f t="shared" si="499"/>
        <v>25820.034</v>
      </c>
      <c r="AN500" s="111" t="s">
        <v>131</v>
      </c>
      <c r="AO500" s="113">
        <f t="shared" ref="AO500:AW500" si="516">H500/H496</f>
        <v>0.3687533806194826</v>
      </c>
      <c r="AP500" s="113">
        <f t="shared" si="516"/>
        <v>0.38043203802283737</v>
      </c>
      <c r="AQ500" s="113">
        <f t="shared" si="516"/>
        <v>0.41427823302412831</v>
      </c>
      <c r="AR500" s="113">
        <f t="shared" si="516"/>
        <v>0.42392751885355595</v>
      </c>
      <c r="AS500" s="113">
        <f t="shared" si="516"/>
        <v>0.44718219121057745</v>
      </c>
      <c r="AT500" s="113">
        <f t="shared" si="516"/>
        <v>0.42395464399461152</v>
      </c>
      <c r="AU500" s="113">
        <f t="shared" si="516"/>
        <v>0.42901275039060155</v>
      </c>
      <c r="AV500" s="113">
        <f t="shared" si="516"/>
        <v>0.4671924543233113</v>
      </c>
      <c r="AW500" s="113">
        <f t="shared" si="516"/>
        <v>0.46441026646789979</v>
      </c>
      <c r="AY500" s="111" t="s">
        <v>131</v>
      </c>
      <c r="AZ500" s="179">
        <f t="shared" si="501"/>
        <v>2.0650189314691026E-2</v>
      </c>
      <c r="BA500" s="179">
        <f t="shared" si="501"/>
        <v>2.2065058205324565E-2</v>
      </c>
      <c r="BB500" s="179">
        <f t="shared" si="501"/>
        <v>2.3199581049351187E-2</v>
      </c>
      <c r="BC500" s="179">
        <f t="shared" si="501"/>
        <v>2.4587796093506243E-2</v>
      </c>
      <c r="BD500" s="179">
        <f t="shared" si="501"/>
        <v>2.7725295855055804E-2</v>
      </c>
      <c r="BE500" s="179">
        <f t="shared" si="501"/>
        <v>3.1372643655601253E-2</v>
      </c>
      <c r="BF500" s="179">
        <f t="shared" si="501"/>
        <v>3.0030892527342111E-2</v>
      </c>
      <c r="BG500" s="179">
        <f t="shared" si="501"/>
        <v>3.0834701985338542E-2</v>
      </c>
      <c r="BH500" s="179">
        <f t="shared" si="501"/>
        <v>2.6935795455138186E-2</v>
      </c>
    </row>
    <row r="501" spans="2:68" s="87" customFormat="1" x14ac:dyDescent="0.25">
      <c r="B501" s="84"/>
      <c r="C501" s="85"/>
      <c r="D501" s="85"/>
      <c r="E501" s="109" t="s">
        <v>3</v>
      </c>
      <c r="F501" s="110" t="s">
        <v>67</v>
      </c>
      <c r="G501" s="195" t="s">
        <v>7</v>
      </c>
      <c r="H501" s="69">
        <v>977665</v>
      </c>
      <c r="I501" s="69">
        <v>1060400</v>
      </c>
      <c r="J501" s="69">
        <v>1126048</v>
      </c>
      <c r="K501" s="69">
        <v>1215515</v>
      </c>
      <c r="L501" s="69">
        <v>1278016</v>
      </c>
      <c r="M501" s="69">
        <v>1303307</v>
      </c>
      <c r="N501" s="69">
        <v>1300154</v>
      </c>
      <c r="O501" s="69">
        <v>1311209</v>
      </c>
      <c r="P501" s="69">
        <v>1310068</v>
      </c>
      <c r="R501" s="195" t="s">
        <v>7</v>
      </c>
      <c r="S501" s="226">
        <v>0.7</v>
      </c>
      <c r="T501" s="226">
        <v>0.7</v>
      </c>
      <c r="U501" s="226">
        <v>0.5</v>
      </c>
      <c r="V501" s="226">
        <v>1.8</v>
      </c>
      <c r="W501" s="226">
        <v>0.7</v>
      </c>
      <c r="X501" s="226">
        <v>0.9</v>
      </c>
      <c r="Y501" s="226">
        <v>0.9</v>
      </c>
      <c r="Z501" s="226">
        <v>0.8</v>
      </c>
      <c r="AA501" s="226">
        <v>0.9</v>
      </c>
      <c r="AC501" s="195" t="s">
        <v>7</v>
      </c>
      <c r="AD501" s="69">
        <f t="shared" si="503"/>
        <v>13687.31</v>
      </c>
      <c r="AE501" s="69">
        <f t="shared" si="499"/>
        <v>14845.6</v>
      </c>
      <c r="AF501" s="69">
        <f t="shared" si="499"/>
        <v>11260.48</v>
      </c>
      <c r="AG501" s="69">
        <f t="shared" si="499"/>
        <v>43758.54</v>
      </c>
      <c r="AH501" s="69">
        <f t="shared" si="499"/>
        <v>17892.223999999998</v>
      </c>
      <c r="AI501" s="69">
        <f t="shared" si="499"/>
        <v>23459.526000000002</v>
      </c>
      <c r="AJ501" s="69">
        <f t="shared" si="499"/>
        <v>23402.772000000001</v>
      </c>
      <c r="AK501" s="69">
        <f t="shared" si="499"/>
        <v>20979.343999999997</v>
      </c>
      <c r="AL501" s="69">
        <f t="shared" si="499"/>
        <v>23581.223999999998</v>
      </c>
      <c r="AN501" s="195" t="s">
        <v>7</v>
      </c>
      <c r="AO501" s="98">
        <f t="shared" ref="AO501:AW501" si="517">H501/H501</f>
        <v>1</v>
      </c>
      <c r="AP501" s="98">
        <f t="shared" si="517"/>
        <v>1</v>
      </c>
      <c r="AQ501" s="98">
        <f t="shared" si="517"/>
        <v>1</v>
      </c>
      <c r="AR501" s="98">
        <f t="shared" si="517"/>
        <v>1</v>
      </c>
      <c r="AS501" s="98">
        <f t="shared" si="517"/>
        <v>1</v>
      </c>
      <c r="AT501" s="98">
        <f t="shared" si="517"/>
        <v>1</v>
      </c>
      <c r="AU501" s="98">
        <f t="shared" si="517"/>
        <v>1</v>
      </c>
      <c r="AV501" s="98">
        <f t="shared" si="517"/>
        <v>1</v>
      </c>
      <c r="AW501" s="98">
        <f t="shared" si="517"/>
        <v>1</v>
      </c>
      <c r="AX501" s="191"/>
      <c r="AY501" s="195" t="s">
        <v>7</v>
      </c>
      <c r="AZ501" s="178">
        <f t="shared" si="501"/>
        <v>1.3999999999999999E-2</v>
      </c>
      <c r="BA501" s="178">
        <f t="shared" si="501"/>
        <v>1.3999999999999999E-2</v>
      </c>
      <c r="BB501" s="178">
        <f t="shared" si="501"/>
        <v>0.01</v>
      </c>
      <c r="BC501" s="178">
        <f t="shared" si="501"/>
        <v>3.6000000000000004E-2</v>
      </c>
      <c r="BD501" s="178">
        <f t="shared" si="501"/>
        <v>1.3999999999999999E-2</v>
      </c>
      <c r="BE501" s="178">
        <f t="shared" si="501"/>
        <v>1.8000000000000002E-2</v>
      </c>
      <c r="BF501" s="178">
        <f t="shared" si="501"/>
        <v>1.8000000000000002E-2</v>
      </c>
      <c r="BG501" s="178">
        <f t="shared" si="501"/>
        <v>1.6E-2</v>
      </c>
      <c r="BH501" s="178">
        <f t="shared" si="501"/>
        <v>1.8000000000000002E-2</v>
      </c>
      <c r="BI501" s="191"/>
      <c r="BJ501" s="191"/>
      <c r="BK501" s="191"/>
      <c r="BL501" s="191"/>
      <c r="BM501" s="191"/>
      <c r="BN501" s="191"/>
      <c r="BO501" s="191"/>
      <c r="BP501" s="191"/>
    </row>
    <row r="502" spans="2:68" s="108" customFormat="1" x14ac:dyDescent="0.25">
      <c r="B502" s="107"/>
      <c r="E502" s="109" t="s">
        <v>3</v>
      </c>
      <c r="F502" s="110" t="s">
        <v>67</v>
      </c>
      <c r="G502" s="111" t="s">
        <v>54</v>
      </c>
      <c r="H502" s="112">
        <v>203053</v>
      </c>
      <c r="I502" s="112">
        <v>199079</v>
      </c>
      <c r="J502" s="112">
        <v>200554</v>
      </c>
      <c r="K502" s="112">
        <v>239699</v>
      </c>
      <c r="L502" s="112">
        <v>224495</v>
      </c>
      <c r="M502" s="112">
        <v>215694</v>
      </c>
      <c r="N502" s="112">
        <v>204700</v>
      </c>
      <c r="O502" s="112">
        <v>205156</v>
      </c>
      <c r="P502" s="112">
        <v>184920</v>
      </c>
      <c r="R502" s="111" t="s">
        <v>54</v>
      </c>
      <c r="S502" s="220">
        <v>4.0999999999999996</v>
      </c>
      <c r="T502" s="220">
        <v>5</v>
      </c>
      <c r="U502" s="220">
        <v>4.3</v>
      </c>
      <c r="V502" s="220">
        <v>4.2</v>
      </c>
      <c r="W502" s="220">
        <v>5.2</v>
      </c>
      <c r="X502" s="220">
        <v>5.8</v>
      </c>
      <c r="Y502" s="220">
        <v>5.2</v>
      </c>
      <c r="Z502" s="220">
        <v>5.4</v>
      </c>
      <c r="AA502" s="220">
        <v>6.1</v>
      </c>
      <c r="AC502" s="111" t="s">
        <v>54</v>
      </c>
      <c r="AD502" s="112">
        <f t="shared" si="503"/>
        <v>16650.345999999998</v>
      </c>
      <c r="AE502" s="112">
        <f t="shared" si="499"/>
        <v>19907.900000000001</v>
      </c>
      <c r="AF502" s="112">
        <f t="shared" si="499"/>
        <v>17247.644</v>
      </c>
      <c r="AG502" s="112">
        <f t="shared" si="499"/>
        <v>20134.716</v>
      </c>
      <c r="AH502" s="112">
        <f t="shared" si="499"/>
        <v>23347.48</v>
      </c>
      <c r="AI502" s="112">
        <f t="shared" si="499"/>
        <v>25020.504000000001</v>
      </c>
      <c r="AJ502" s="112">
        <f t="shared" si="499"/>
        <v>21288.799999999999</v>
      </c>
      <c r="AK502" s="112">
        <f t="shared" si="499"/>
        <v>22156.848000000002</v>
      </c>
      <c r="AL502" s="112">
        <f t="shared" si="499"/>
        <v>22560.240000000002</v>
      </c>
      <c r="AN502" s="111" t="s">
        <v>54</v>
      </c>
      <c r="AO502" s="113">
        <f t="shared" ref="AO502:AW502" si="518">H502/H501</f>
        <v>0.20769179626968337</v>
      </c>
      <c r="AP502" s="113">
        <f t="shared" si="518"/>
        <v>0.1877395322519804</v>
      </c>
      <c r="AQ502" s="113">
        <f t="shared" si="518"/>
        <v>0.17810430816448322</v>
      </c>
      <c r="AR502" s="113">
        <f t="shared" si="518"/>
        <v>0.19719954093532371</v>
      </c>
      <c r="AS502" s="113">
        <f t="shared" si="518"/>
        <v>0.17565899018478642</v>
      </c>
      <c r="AT502" s="113">
        <f t="shared" si="518"/>
        <v>0.16549746145766117</v>
      </c>
      <c r="AU502" s="113">
        <f t="shared" si="518"/>
        <v>0.15744288753486124</v>
      </c>
      <c r="AV502" s="113">
        <f t="shared" si="518"/>
        <v>0.15646323355010527</v>
      </c>
      <c r="AW502" s="113">
        <f t="shared" si="518"/>
        <v>0.1411529783186827</v>
      </c>
      <c r="AY502" s="111" t="s">
        <v>54</v>
      </c>
      <c r="AZ502" s="179">
        <f t="shared" si="501"/>
        <v>1.7030727294114034E-2</v>
      </c>
      <c r="BA502" s="179">
        <f t="shared" si="501"/>
        <v>1.877395322519804E-2</v>
      </c>
      <c r="BB502" s="179">
        <f t="shared" si="501"/>
        <v>1.5316970502145557E-2</v>
      </c>
      <c r="BC502" s="179">
        <f t="shared" si="501"/>
        <v>1.6564761438567194E-2</v>
      </c>
      <c r="BD502" s="179">
        <f t="shared" si="501"/>
        <v>1.8268534979217786E-2</v>
      </c>
      <c r="BE502" s="179">
        <f t="shared" si="501"/>
        <v>1.9197705529088695E-2</v>
      </c>
      <c r="BF502" s="179">
        <f t="shared" si="501"/>
        <v>1.6374060303625572E-2</v>
      </c>
      <c r="BG502" s="179">
        <f t="shared" si="501"/>
        <v>1.6898029223411371E-2</v>
      </c>
      <c r="BH502" s="179">
        <f t="shared" si="501"/>
        <v>1.722066335487929E-2</v>
      </c>
    </row>
    <row r="503" spans="2:68" s="108" customFormat="1" x14ac:dyDescent="0.25">
      <c r="B503" s="107"/>
      <c r="E503" s="109" t="s">
        <v>3</v>
      </c>
      <c r="F503" s="110" t="s">
        <v>67</v>
      </c>
      <c r="G503" s="111" t="s">
        <v>55</v>
      </c>
      <c r="H503" s="70">
        <v>355247</v>
      </c>
      <c r="I503" s="70">
        <v>387463</v>
      </c>
      <c r="J503" s="70">
        <v>409783</v>
      </c>
      <c r="K503" s="70">
        <v>418839</v>
      </c>
      <c r="L503" s="70">
        <v>446724</v>
      </c>
      <c r="M503" s="70">
        <v>432559</v>
      </c>
      <c r="N503" s="70">
        <v>461625</v>
      </c>
      <c r="O503" s="112">
        <v>454321</v>
      </c>
      <c r="P503" s="112">
        <v>397027</v>
      </c>
      <c r="R503" s="111" t="s">
        <v>55</v>
      </c>
      <c r="S503" s="81">
        <v>2.5</v>
      </c>
      <c r="T503" s="81">
        <v>3.4</v>
      </c>
      <c r="U503" s="81">
        <v>2.7</v>
      </c>
      <c r="V503" s="81">
        <v>3.2</v>
      </c>
      <c r="W503" s="81">
        <v>3.5</v>
      </c>
      <c r="X503" s="81">
        <v>3.8</v>
      </c>
      <c r="Y503" s="81">
        <v>3.4</v>
      </c>
      <c r="Z503" s="81">
        <v>3.2</v>
      </c>
      <c r="AA503" s="81">
        <v>3.6</v>
      </c>
      <c r="AC503" s="111" t="s">
        <v>55</v>
      </c>
      <c r="AD503" s="70">
        <f t="shared" si="503"/>
        <v>17762.349999999999</v>
      </c>
      <c r="AE503" s="70">
        <f t="shared" si="499"/>
        <v>26347.484</v>
      </c>
      <c r="AF503" s="70">
        <f t="shared" si="499"/>
        <v>22128.282000000003</v>
      </c>
      <c r="AG503" s="70">
        <f t="shared" si="499"/>
        <v>26805.696</v>
      </c>
      <c r="AH503" s="70">
        <f t="shared" si="499"/>
        <v>31270.68</v>
      </c>
      <c r="AI503" s="70">
        <f t="shared" si="499"/>
        <v>32874.483999999997</v>
      </c>
      <c r="AJ503" s="70">
        <f t="shared" si="499"/>
        <v>31390.5</v>
      </c>
      <c r="AK503" s="70">
        <f t="shared" si="499"/>
        <v>29076.544000000005</v>
      </c>
      <c r="AL503" s="70">
        <f t="shared" si="499"/>
        <v>28585.944</v>
      </c>
      <c r="AN503" s="111" t="s">
        <v>55</v>
      </c>
      <c r="AO503" s="113">
        <f t="shared" ref="AO503:AW503" si="519">H503/H501</f>
        <v>0.36336270603938975</v>
      </c>
      <c r="AP503" s="113">
        <f t="shared" si="519"/>
        <v>0.36539324783100718</v>
      </c>
      <c r="AQ503" s="113">
        <f t="shared" si="519"/>
        <v>0.36391255079712409</v>
      </c>
      <c r="AR503" s="113">
        <f t="shared" si="519"/>
        <v>0.34457740134839965</v>
      </c>
      <c r="AS503" s="113">
        <f t="shared" si="519"/>
        <v>0.34954491962541939</v>
      </c>
      <c r="AT503" s="113">
        <f t="shared" si="519"/>
        <v>0.33189340654197363</v>
      </c>
      <c r="AU503" s="113">
        <f t="shared" si="519"/>
        <v>0.35505409359198986</v>
      </c>
      <c r="AV503" s="113">
        <f t="shared" si="519"/>
        <v>0.34649014764236669</v>
      </c>
      <c r="AW503" s="113">
        <f t="shared" si="519"/>
        <v>0.30305831453023813</v>
      </c>
      <c r="AY503" s="111" t="s">
        <v>55</v>
      </c>
      <c r="AZ503" s="179">
        <f t="shared" si="501"/>
        <v>1.816813530196949E-2</v>
      </c>
      <c r="BA503" s="179">
        <f t="shared" si="501"/>
        <v>2.4846740852508487E-2</v>
      </c>
      <c r="BB503" s="179">
        <f t="shared" si="501"/>
        <v>1.96512777430447E-2</v>
      </c>
      <c r="BC503" s="179">
        <f t="shared" si="501"/>
        <v>2.2052953686297578E-2</v>
      </c>
      <c r="BD503" s="179">
        <f t="shared" si="501"/>
        <v>2.4468144373779359E-2</v>
      </c>
      <c r="BE503" s="179">
        <f t="shared" si="501"/>
        <v>2.5223898897189994E-2</v>
      </c>
      <c r="BF503" s="179">
        <f t="shared" si="501"/>
        <v>2.4143678364255308E-2</v>
      </c>
      <c r="BG503" s="179">
        <f t="shared" si="501"/>
        <v>2.2175369449111471E-2</v>
      </c>
      <c r="BH503" s="179">
        <f t="shared" si="501"/>
        <v>2.1820198646177145E-2</v>
      </c>
    </row>
    <row r="504" spans="2:68" s="108" customFormat="1" x14ac:dyDescent="0.25">
      <c r="B504" s="107"/>
      <c r="E504" s="109" t="s">
        <v>3</v>
      </c>
      <c r="F504" s="110" t="s">
        <v>67</v>
      </c>
      <c r="G504" s="111" t="s">
        <v>130</v>
      </c>
      <c r="H504" s="70">
        <v>107879</v>
      </c>
      <c r="I504" s="70">
        <v>125649</v>
      </c>
      <c r="J504" s="70">
        <v>140788</v>
      </c>
      <c r="K504" s="70">
        <v>133023</v>
      </c>
      <c r="L504" s="70">
        <v>142033</v>
      </c>
      <c r="M504" s="70">
        <v>183544</v>
      </c>
      <c r="N504" s="70">
        <v>165329</v>
      </c>
      <c r="O504" s="112">
        <v>165038</v>
      </c>
      <c r="P504" s="112">
        <v>185520</v>
      </c>
      <c r="R504" s="111" t="s">
        <v>130</v>
      </c>
      <c r="S504" s="220">
        <v>5.5</v>
      </c>
      <c r="T504" s="220">
        <v>5.6</v>
      </c>
      <c r="U504" s="220">
        <v>5.6</v>
      </c>
      <c r="V504" s="220">
        <v>5.9</v>
      </c>
      <c r="W504" s="220">
        <v>6.6</v>
      </c>
      <c r="X504" s="220">
        <v>6.9</v>
      </c>
      <c r="Y504" s="220">
        <v>6.9</v>
      </c>
      <c r="Z504" s="220">
        <v>6.4</v>
      </c>
      <c r="AA504" s="220">
        <v>6.1</v>
      </c>
      <c r="AC504" s="111" t="s">
        <v>130</v>
      </c>
      <c r="AD504" s="70">
        <f t="shared" si="503"/>
        <v>11866.69</v>
      </c>
      <c r="AE504" s="70">
        <f t="shared" si="499"/>
        <v>14072.687999999998</v>
      </c>
      <c r="AF504" s="70">
        <f t="shared" si="499"/>
        <v>15768.255999999999</v>
      </c>
      <c r="AG504" s="70">
        <f t="shared" si="499"/>
        <v>15696.714000000002</v>
      </c>
      <c r="AH504" s="70">
        <f t="shared" si="499"/>
        <v>18748.356</v>
      </c>
      <c r="AI504" s="70">
        <f t="shared" si="499"/>
        <v>25329.072</v>
      </c>
      <c r="AJ504" s="70">
        <f t="shared" si="499"/>
        <v>22815.402000000002</v>
      </c>
      <c r="AK504" s="70">
        <f t="shared" si="499"/>
        <v>21124.863999999998</v>
      </c>
      <c r="AL504" s="70">
        <f t="shared" si="499"/>
        <v>22633.439999999999</v>
      </c>
      <c r="AN504" s="111" t="s">
        <v>130</v>
      </c>
      <c r="AO504" s="113">
        <f t="shared" ref="AO504:AW504" si="520">H504/H501</f>
        <v>0.11034352257675176</v>
      </c>
      <c r="AP504" s="113">
        <f t="shared" si="520"/>
        <v>0.11849207846095813</v>
      </c>
      <c r="AQ504" s="113">
        <f t="shared" si="520"/>
        <v>0.1250284179715252</v>
      </c>
      <c r="AR504" s="113">
        <f t="shared" si="520"/>
        <v>0.10943756350189014</v>
      </c>
      <c r="AS504" s="113">
        <f t="shared" si="520"/>
        <v>0.11113554133907556</v>
      </c>
      <c r="AT504" s="113">
        <f t="shared" si="520"/>
        <v>0.14082944386855897</v>
      </c>
      <c r="AU504" s="113">
        <f t="shared" si="520"/>
        <v>0.12716109014778249</v>
      </c>
      <c r="AV504" s="113">
        <f t="shared" si="520"/>
        <v>0.12586704331651172</v>
      </c>
      <c r="AW504" s="113">
        <f t="shared" si="520"/>
        <v>0.14161096981225402</v>
      </c>
      <c r="AY504" s="111" t="s">
        <v>130</v>
      </c>
      <c r="AZ504" s="179">
        <f t="shared" si="501"/>
        <v>1.2137787483442693E-2</v>
      </c>
      <c r="BA504" s="179">
        <f t="shared" si="501"/>
        <v>1.327111278762731E-2</v>
      </c>
      <c r="BB504" s="179">
        <f t="shared" si="501"/>
        <v>1.4003182812810822E-2</v>
      </c>
      <c r="BC504" s="179">
        <f t="shared" si="501"/>
        <v>1.2913632493223037E-2</v>
      </c>
      <c r="BD504" s="179">
        <f t="shared" si="501"/>
        <v>1.4669891456757973E-2</v>
      </c>
      <c r="BE504" s="179">
        <f t="shared" si="501"/>
        <v>1.9434463253861139E-2</v>
      </c>
      <c r="BF504" s="179">
        <f t="shared" si="501"/>
        <v>1.7548230440393983E-2</v>
      </c>
      <c r="BG504" s="179">
        <f t="shared" si="501"/>
        <v>1.61109815445135E-2</v>
      </c>
      <c r="BH504" s="179">
        <f t="shared" si="501"/>
        <v>1.727653831709499E-2</v>
      </c>
    </row>
    <row r="505" spans="2:68" s="108" customFormat="1" x14ac:dyDescent="0.25">
      <c r="B505" s="107"/>
      <c r="E505" s="109" t="s">
        <v>3</v>
      </c>
      <c r="F505" s="110" t="s">
        <v>67</v>
      </c>
      <c r="G505" s="111" t="s">
        <v>131</v>
      </c>
      <c r="H505" s="112">
        <v>309759</v>
      </c>
      <c r="I505" s="112">
        <v>347435</v>
      </c>
      <c r="J505" s="112">
        <v>373496</v>
      </c>
      <c r="K505" s="112">
        <v>423656</v>
      </c>
      <c r="L505" s="112">
        <v>464764</v>
      </c>
      <c r="M505" s="112">
        <v>471510</v>
      </c>
      <c r="N505" s="112">
        <v>468500</v>
      </c>
      <c r="O505" s="112">
        <v>486694</v>
      </c>
      <c r="P505" s="112">
        <v>542601</v>
      </c>
      <c r="R505" s="111" t="s">
        <v>131</v>
      </c>
      <c r="S505" s="220">
        <v>3.1</v>
      </c>
      <c r="T505" s="220">
        <v>3.2</v>
      </c>
      <c r="U505" s="220">
        <v>2.8</v>
      </c>
      <c r="V505" s="220">
        <v>2.8</v>
      </c>
      <c r="W505" s="220">
        <v>3</v>
      </c>
      <c r="X505" s="220">
        <v>3.3</v>
      </c>
      <c r="Y505" s="220">
        <v>3.2</v>
      </c>
      <c r="Z505" s="220">
        <v>3.2</v>
      </c>
      <c r="AA505" s="220">
        <v>2.1</v>
      </c>
      <c r="AC505" s="111" t="s">
        <v>131</v>
      </c>
      <c r="AD505" s="112">
        <f t="shared" si="503"/>
        <v>19205.058000000001</v>
      </c>
      <c r="AE505" s="112">
        <f t="shared" si="499"/>
        <v>22235.84</v>
      </c>
      <c r="AF505" s="112">
        <f t="shared" si="499"/>
        <v>20915.775999999998</v>
      </c>
      <c r="AG505" s="112">
        <f t="shared" si="499"/>
        <v>23724.735999999997</v>
      </c>
      <c r="AH505" s="112">
        <f t="shared" si="499"/>
        <v>27885.84</v>
      </c>
      <c r="AI505" s="112">
        <f t="shared" si="499"/>
        <v>31119.66</v>
      </c>
      <c r="AJ505" s="112">
        <f t="shared" si="499"/>
        <v>29984</v>
      </c>
      <c r="AK505" s="112">
        <f t="shared" si="499"/>
        <v>31148.416000000001</v>
      </c>
      <c r="AL505" s="112">
        <f t="shared" si="499"/>
        <v>22789.242000000002</v>
      </c>
      <c r="AN505" s="111" t="s">
        <v>131</v>
      </c>
      <c r="AO505" s="113">
        <f t="shared" ref="AO505:AW505" si="521">H505/H501</f>
        <v>0.31683552136979437</v>
      </c>
      <c r="AP505" s="113">
        <f t="shared" si="521"/>
        <v>0.32764522821576764</v>
      </c>
      <c r="AQ505" s="113">
        <f t="shared" si="521"/>
        <v>0.33168745914916592</v>
      </c>
      <c r="AR505" s="113">
        <f t="shared" si="521"/>
        <v>0.34854033064174444</v>
      </c>
      <c r="AS505" s="113">
        <f t="shared" si="521"/>
        <v>0.36366054885071863</v>
      </c>
      <c r="AT505" s="113">
        <f t="shared" si="521"/>
        <v>0.36177968813180622</v>
      </c>
      <c r="AU505" s="113">
        <f t="shared" si="521"/>
        <v>0.36034192872536636</v>
      </c>
      <c r="AV505" s="113">
        <f t="shared" si="521"/>
        <v>0.37117957549101632</v>
      </c>
      <c r="AW505" s="113">
        <f t="shared" si="521"/>
        <v>0.41417773733882518</v>
      </c>
      <c r="AY505" s="111" t="s">
        <v>131</v>
      </c>
      <c r="AZ505" s="179">
        <f t="shared" si="501"/>
        <v>1.964380232492725E-2</v>
      </c>
      <c r="BA505" s="179">
        <f t="shared" si="501"/>
        <v>2.0969294605809128E-2</v>
      </c>
      <c r="BB505" s="179">
        <f t="shared" si="501"/>
        <v>1.857449771235329E-2</v>
      </c>
      <c r="BC505" s="179">
        <f t="shared" si="501"/>
        <v>1.9518258515937689E-2</v>
      </c>
      <c r="BD505" s="179">
        <f t="shared" si="501"/>
        <v>2.181963293104312E-2</v>
      </c>
      <c r="BE505" s="179">
        <f t="shared" si="501"/>
        <v>2.387745941669921E-2</v>
      </c>
      <c r="BF505" s="179">
        <f t="shared" si="501"/>
        <v>2.3061883438423449E-2</v>
      </c>
      <c r="BG505" s="179">
        <f t="shared" si="501"/>
        <v>2.3755492831425043E-2</v>
      </c>
      <c r="BH505" s="179">
        <f t="shared" si="501"/>
        <v>1.7395464968230658E-2</v>
      </c>
    </row>
    <row r="506" spans="2:68" s="87" customFormat="1" x14ac:dyDescent="0.25">
      <c r="B506" s="84"/>
      <c r="C506" s="85"/>
      <c r="D506" s="85"/>
      <c r="E506" s="109" t="s">
        <v>45</v>
      </c>
      <c r="F506" s="110" t="s">
        <v>67</v>
      </c>
      <c r="G506" s="195" t="s">
        <v>7</v>
      </c>
      <c r="H506" s="69">
        <v>497979</v>
      </c>
      <c r="I506" s="69">
        <v>518208</v>
      </c>
      <c r="J506" s="69">
        <v>545759</v>
      </c>
      <c r="K506" s="69">
        <v>582709</v>
      </c>
      <c r="L506" s="69">
        <v>622785</v>
      </c>
      <c r="M506" s="69">
        <v>673066</v>
      </c>
      <c r="N506" s="69">
        <v>728958</v>
      </c>
      <c r="O506" s="69">
        <v>785039</v>
      </c>
      <c r="P506" s="69">
        <v>847961</v>
      </c>
      <c r="R506" s="195" t="s">
        <v>7</v>
      </c>
      <c r="S506" s="226">
        <v>1</v>
      </c>
      <c r="T506" s="226">
        <v>0.9</v>
      </c>
      <c r="U506" s="226">
        <v>0.9</v>
      </c>
      <c r="V506" s="226">
        <v>2.9</v>
      </c>
      <c r="W506" s="226">
        <v>1.1000000000000001</v>
      </c>
      <c r="X506" s="226">
        <v>1</v>
      </c>
      <c r="Y506" s="226">
        <v>1</v>
      </c>
      <c r="Z506" s="226">
        <v>1</v>
      </c>
      <c r="AA506" s="226">
        <v>0.9</v>
      </c>
      <c r="AC506" s="195" t="s">
        <v>7</v>
      </c>
      <c r="AD506" s="69">
        <f t="shared" si="503"/>
        <v>9959.58</v>
      </c>
      <c r="AE506" s="69">
        <f t="shared" si="499"/>
        <v>9327.7440000000006</v>
      </c>
      <c r="AF506" s="69">
        <f t="shared" si="499"/>
        <v>9823.6620000000003</v>
      </c>
      <c r="AG506" s="69">
        <f t="shared" si="499"/>
        <v>33797.121999999996</v>
      </c>
      <c r="AH506" s="69">
        <f t="shared" si="499"/>
        <v>13701.27</v>
      </c>
      <c r="AI506" s="69">
        <f t="shared" si="499"/>
        <v>13461.32</v>
      </c>
      <c r="AJ506" s="69">
        <f t="shared" si="499"/>
        <v>14579.16</v>
      </c>
      <c r="AK506" s="69">
        <f t="shared" si="499"/>
        <v>15700.78</v>
      </c>
      <c r="AL506" s="69">
        <f t="shared" si="499"/>
        <v>15263.298000000001</v>
      </c>
      <c r="AN506" s="195" t="s">
        <v>7</v>
      </c>
      <c r="AO506" s="98">
        <f t="shared" ref="AO506:AW506" si="522">H506/H506</f>
        <v>1</v>
      </c>
      <c r="AP506" s="98">
        <f t="shared" si="522"/>
        <v>1</v>
      </c>
      <c r="AQ506" s="98">
        <f t="shared" si="522"/>
        <v>1</v>
      </c>
      <c r="AR506" s="98">
        <f t="shared" si="522"/>
        <v>1</v>
      </c>
      <c r="AS506" s="98">
        <f t="shared" si="522"/>
        <v>1</v>
      </c>
      <c r="AT506" s="98">
        <f t="shared" si="522"/>
        <v>1</v>
      </c>
      <c r="AU506" s="98">
        <f t="shared" si="522"/>
        <v>1</v>
      </c>
      <c r="AV506" s="98">
        <f t="shared" si="522"/>
        <v>1</v>
      </c>
      <c r="AW506" s="98">
        <f t="shared" si="522"/>
        <v>1</v>
      </c>
      <c r="AX506" s="191"/>
      <c r="AY506" s="195" t="s">
        <v>7</v>
      </c>
      <c r="AZ506" s="178">
        <f t="shared" si="501"/>
        <v>0.02</v>
      </c>
      <c r="BA506" s="178">
        <f t="shared" si="501"/>
        <v>1.8000000000000002E-2</v>
      </c>
      <c r="BB506" s="178">
        <f t="shared" si="501"/>
        <v>1.8000000000000002E-2</v>
      </c>
      <c r="BC506" s="178">
        <f t="shared" si="501"/>
        <v>5.7999999999999996E-2</v>
      </c>
      <c r="BD506" s="178">
        <f t="shared" si="501"/>
        <v>2.2000000000000002E-2</v>
      </c>
      <c r="BE506" s="178">
        <f t="shared" si="501"/>
        <v>0.02</v>
      </c>
      <c r="BF506" s="178">
        <f t="shared" si="501"/>
        <v>0.02</v>
      </c>
      <c r="BG506" s="178">
        <f t="shared" si="501"/>
        <v>0.02</v>
      </c>
      <c r="BH506" s="178">
        <f t="shared" si="501"/>
        <v>1.8000000000000002E-2</v>
      </c>
      <c r="BI506" s="191"/>
      <c r="BJ506" s="191"/>
      <c r="BK506" s="191"/>
      <c r="BL506" s="191"/>
      <c r="BM506" s="191"/>
      <c r="BN506" s="191"/>
      <c r="BO506" s="191"/>
      <c r="BP506" s="191"/>
    </row>
    <row r="507" spans="2:68" s="108" customFormat="1" x14ac:dyDescent="0.25">
      <c r="B507" s="107"/>
      <c r="E507" s="109" t="s">
        <v>45</v>
      </c>
      <c r="F507" s="110" t="s">
        <v>67</v>
      </c>
      <c r="G507" s="111" t="s">
        <v>54</v>
      </c>
      <c r="H507" s="112">
        <v>44835</v>
      </c>
      <c r="I507" s="112">
        <v>56721</v>
      </c>
      <c r="J507" s="112">
        <v>51153</v>
      </c>
      <c r="K507" s="112">
        <v>59516</v>
      </c>
      <c r="L507" s="112">
        <v>57157</v>
      </c>
      <c r="M507" s="112">
        <v>47464</v>
      </c>
      <c r="N507" s="112">
        <v>63166</v>
      </c>
      <c r="O507" s="112">
        <v>63262</v>
      </c>
      <c r="P507" s="112">
        <v>66659</v>
      </c>
      <c r="R507" s="111" t="s">
        <v>54</v>
      </c>
      <c r="S507" s="220">
        <v>9</v>
      </c>
      <c r="T507" s="220">
        <v>8.5</v>
      </c>
      <c r="U507" s="220">
        <v>9.1</v>
      </c>
      <c r="V507" s="220">
        <v>8.9</v>
      </c>
      <c r="W507" s="220">
        <v>10.5</v>
      </c>
      <c r="X507" s="220">
        <v>11.7</v>
      </c>
      <c r="Y507" s="220">
        <v>11.3</v>
      </c>
      <c r="Z507" s="220">
        <v>10.4</v>
      </c>
      <c r="AA507" s="220">
        <v>9.8000000000000007</v>
      </c>
      <c r="AC507" s="111" t="s">
        <v>54</v>
      </c>
      <c r="AD507" s="112">
        <f t="shared" si="503"/>
        <v>8070.3</v>
      </c>
      <c r="AE507" s="112">
        <f t="shared" si="499"/>
        <v>9642.57</v>
      </c>
      <c r="AF507" s="112">
        <f t="shared" si="499"/>
        <v>9309.8459999999995</v>
      </c>
      <c r="AG507" s="112">
        <f t="shared" si="499"/>
        <v>10593.848</v>
      </c>
      <c r="AH507" s="112">
        <f t="shared" si="499"/>
        <v>12002.97</v>
      </c>
      <c r="AI507" s="112">
        <f t="shared" si="499"/>
        <v>11106.575999999999</v>
      </c>
      <c r="AJ507" s="112">
        <f t="shared" si="499"/>
        <v>14275.516000000001</v>
      </c>
      <c r="AK507" s="112">
        <f t="shared" si="499"/>
        <v>13158.496000000001</v>
      </c>
      <c r="AL507" s="112">
        <f t="shared" si="499"/>
        <v>13065.164000000001</v>
      </c>
      <c r="AN507" s="111" t="s">
        <v>54</v>
      </c>
      <c r="AO507" s="113">
        <f t="shared" ref="AO507:AW507" si="523">H507/H506</f>
        <v>9.0033917092889465E-2</v>
      </c>
      <c r="AP507" s="113">
        <f t="shared" si="523"/>
        <v>0.109456048536495</v>
      </c>
      <c r="AQ507" s="113">
        <f t="shared" si="523"/>
        <v>9.3728184051935018E-2</v>
      </c>
      <c r="AR507" s="113">
        <f t="shared" si="523"/>
        <v>0.10213674406950983</v>
      </c>
      <c r="AS507" s="113">
        <f t="shared" si="523"/>
        <v>9.1776455759210646E-2</v>
      </c>
      <c r="AT507" s="113">
        <f t="shared" si="523"/>
        <v>7.0519087281187873E-2</v>
      </c>
      <c r="AU507" s="113">
        <f t="shared" si="523"/>
        <v>8.6652454599579126E-2</v>
      </c>
      <c r="AV507" s="113">
        <f t="shared" si="523"/>
        <v>8.0584531469137202E-2</v>
      </c>
      <c r="AW507" s="113">
        <f t="shared" si="523"/>
        <v>7.8610926681769569E-2</v>
      </c>
      <c r="AY507" s="111" t="s">
        <v>54</v>
      </c>
      <c r="AZ507" s="179">
        <f t="shared" si="501"/>
        <v>1.6206105076720104E-2</v>
      </c>
      <c r="BA507" s="179">
        <f t="shared" si="501"/>
        <v>1.8607528251204149E-2</v>
      </c>
      <c r="BB507" s="179">
        <f t="shared" si="501"/>
        <v>1.7058529497452173E-2</v>
      </c>
      <c r="BC507" s="179">
        <f t="shared" si="501"/>
        <v>1.818034044437275E-2</v>
      </c>
      <c r="BD507" s="179">
        <f t="shared" si="501"/>
        <v>1.9273055709434234E-2</v>
      </c>
      <c r="BE507" s="179">
        <f t="shared" si="501"/>
        <v>1.6501466423797961E-2</v>
      </c>
      <c r="BF507" s="179">
        <f t="shared" si="501"/>
        <v>1.9583454739504885E-2</v>
      </c>
      <c r="BG507" s="179">
        <f t="shared" si="501"/>
        <v>1.6761582545580536E-2</v>
      </c>
      <c r="BH507" s="179">
        <f t="shared" si="501"/>
        <v>1.5407741629626836E-2</v>
      </c>
    </row>
    <row r="508" spans="2:68" s="108" customFormat="1" x14ac:dyDescent="0.25">
      <c r="B508" s="107"/>
      <c r="E508" s="109" t="s">
        <v>45</v>
      </c>
      <c r="F508" s="110" t="s">
        <v>67</v>
      </c>
      <c r="G508" s="111" t="s">
        <v>55</v>
      </c>
      <c r="H508" s="70">
        <v>229980</v>
      </c>
      <c r="I508" s="70">
        <v>228042</v>
      </c>
      <c r="J508" s="70">
        <v>242478</v>
      </c>
      <c r="K508" s="70">
        <v>256884</v>
      </c>
      <c r="L508" s="70">
        <v>278613</v>
      </c>
      <c r="M508" s="70">
        <v>308189</v>
      </c>
      <c r="N508" s="70">
        <v>334748</v>
      </c>
      <c r="O508" s="112">
        <v>340515</v>
      </c>
      <c r="P508" s="112">
        <v>361866</v>
      </c>
      <c r="R508" s="111" t="s">
        <v>55</v>
      </c>
      <c r="S508" s="81">
        <v>3.2</v>
      </c>
      <c r="T508" s="81">
        <v>3.8</v>
      </c>
      <c r="U508" s="81">
        <v>3.6</v>
      </c>
      <c r="V508" s="81">
        <v>3.1</v>
      </c>
      <c r="W508" s="81">
        <v>3.9</v>
      </c>
      <c r="X508" s="81">
        <v>4</v>
      </c>
      <c r="Y508" s="81">
        <v>4.2</v>
      </c>
      <c r="Z508" s="81">
        <v>3.4</v>
      </c>
      <c r="AA508" s="81">
        <v>2.4</v>
      </c>
      <c r="AC508" s="111" t="s">
        <v>55</v>
      </c>
      <c r="AD508" s="70">
        <f t="shared" si="503"/>
        <v>14718.72</v>
      </c>
      <c r="AE508" s="70">
        <f t="shared" si="499"/>
        <v>17331.191999999999</v>
      </c>
      <c r="AF508" s="70">
        <f t="shared" si="499"/>
        <v>17458.416000000001</v>
      </c>
      <c r="AG508" s="70">
        <f t="shared" si="499"/>
        <v>15926.808000000001</v>
      </c>
      <c r="AH508" s="70">
        <f t="shared" si="499"/>
        <v>21731.813999999998</v>
      </c>
      <c r="AI508" s="70">
        <f t="shared" si="499"/>
        <v>24655.119999999999</v>
      </c>
      <c r="AJ508" s="70">
        <f t="shared" si="499"/>
        <v>28118.832000000002</v>
      </c>
      <c r="AK508" s="70">
        <f t="shared" si="499"/>
        <v>23155.02</v>
      </c>
      <c r="AL508" s="70">
        <f t="shared" si="499"/>
        <v>17369.567999999999</v>
      </c>
      <c r="AN508" s="111" t="s">
        <v>55</v>
      </c>
      <c r="AO508" s="113">
        <f t="shared" ref="AO508:AW508" si="524">H508/H506</f>
        <v>0.46182670353569127</v>
      </c>
      <c r="AP508" s="113">
        <f t="shared" si="524"/>
        <v>0.44005881808077063</v>
      </c>
      <c r="AQ508" s="113">
        <f t="shared" si="524"/>
        <v>0.44429500933562249</v>
      </c>
      <c r="AR508" s="113">
        <f t="shared" si="524"/>
        <v>0.44084440089307014</v>
      </c>
      <c r="AS508" s="113">
        <f t="shared" si="524"/>
        <v>0.44736626604687013</v>
      </c>
      <c r="AT508" s="113">
        <f t="shared" si="524"/>
        <v>0.45788823087186098</v>
      </c>
      <c r="AU508" s="113">
        <f t="shared" si="524"/>
        <v>0.45921438546528059</v>
      </c>
      <c r="AV508" s="113">
        <f t="shared" si="524"/>
        <v>0.43375552042637372</v>
      </c>
      <c r="AW508" s="113">
        <f t="shared" si="524"/>
        <v>0.42674839998537667</v>
      </c>
      <c r="AY508" s="111" t="s">
        <v>55</v>
      </c>
      <c r="AZ508" s="179">
        <f t="shared" si="501"/>
        <v>2.9556909026284241E-2</v>
      </c>
      <c r="BA508" s="179">
        <f t="shared" si="501"/>
        <v>3.3444470174138569E-2</v>
      </c>
      <c r="BB508" s="179">
        <f t="shared" si="501"/>
        <v>3.1989240672164819E-2</v>
      </c>
      <c r="BC508" s="179">
        <f t="shared" si="501"/>
        <v>2.7332352855370348E-2</v>
      </c>
      <c r="BD508" s="179">
        <f t="shared" si="501"/>
        <v>3.489456875165587E-2</v>
      </c>
      <c r="BE508" s="179">
        <f t="shared" si="501"/>
        <v>3.663105846974888E-2</v>
      </c>
      <c r="BF508" s="179">
        <f t="shared" si="501"/>
        <v>3.857400837908357E-2</v>
      </c>
      <c r="BG508" s="179">
        <f t="shared" si="501"/>
        <v>2.9495375388993411E-2</v>
      </c>
      <c r="BH508" s="179">
        <f t="shared" si="501"/>
        <v>2.0483923199298079E-2</v>
      </c>
    </row>
    <row r="509" spans="2:68" s="108" customFormat="1" x14ac:dyDescent="0.25">
      <c r="B509" s="107"/>
      <c r="E509" s="109" t="s">
        <v>45</v>
      </c>
      <c r="F509" s="110" t="s">
        <v>67</v>
      </c>
      <c r="G509" s="111" t="s">
        <v>130</v>
      </c>
      <c r="H509" s="70">
        <v>52284</v>
      </c>
      <c r="I509" s="70">
        <v>51787</v>
      </c>
      <c r="J509" s="70">
        <v>56270</v>
      </c>
      <c r="K509" s="70">
        <v>66416</v>
      </c>
      <c r="L509" s="70">
        <v>65609</v>
      </c>
      <c r="M509" s="70">
        <v>78980</v>
      </c>
      <c r="N509" s="70">
        <v>75956</v>
      </c>
      <c r="O509" s="112">
        <v>88987</v>
      </c>
      <c r="P509" s="112">
        <v>84798</v>
      </c>
      <c r="R509" s="111" t="s">
        <v>130</v>
      </c>
      <c r="S509" s="220">
        <v>7.7</v>
      </c>
      <c r="T509" s="220">
        <v>8.9</v>
      </c>
      <c r="U509" s="220">
        <v>8.5</v>
      </c>
      <c r="V509" s="220">
        <v>8.1999999999999993</v>
      </c>
      <c r="W509" s="220">
        <v>9.4</v>
      </c>
      <c r="X509" s="220">
        <v>9.9</v>
      </c>
      <c r="Y509" s="220">
        <v>9.8000000000000007</v>
      </c>
      <c r="Z509" s="220">
        <v>8.5</v>
      </c>
      <c r="AA509" s="220">
        <v>8.6</v>
      </c>
      <c r="AC509" s="111" t="s">
        <v>130</v>
      </c>
      <c r="AD509" s="70">
        <f t="shared" si="503"/>
        <v>8051.7359999999999</v>
      </c>
      <c r="AE509" s="70">
        <f t="shared" si="499"/>
        <v>9218.0860000000011</v>
      </c>
      <c r="AF509" s="70">
        <f t="shared" si="499"/>
        <v>9565.9</v>
      </c>
      <c r="AG509" s="70">
        <f t="shared" si="499"/>
        <v>10892.223999999998</v>
      </c>
      <c r="AH509" s="70">
        <f t="shared" si="499"/>
        <v>12334.492</v>
      </c>
      <c r="AI509" s="70">
        <f t="shared" si="499"/>
        <v>15638.04</v>
      </c>
      <c r="AJ509" s="70">
        <f t="shared" si="499"/>
        <v>14887.376</v>
      </c>
      <c r="AK509" s="70">
        <f t="shared" si="499"/>
        <v>15127.79</v>
      </c>
      <c r="AL509" s="70">
        <f t="shared" si="499"/>
        <v>14585.255999999999</v>
      </c>
      <c r="AN509" s="111" t="s">
        <v>130</v>
      </c>
      <c r="AO509" s="113">
        <f t="shared" ref="AO509:AW509" si="525">H509/H506</f>
        <v>0.10499237919671311</v>
      </c>
      <c r="AP509" s="113">
        <f t="shared" si="525"/>
        <v>9.9934775225392125E-2</v>
      </c>
      <c r="AQ509" s="113">
        <f t="shared" si="525"/>
        <v>0.10310411738514619</v>
      </c>
      <c r="AR509" s="113">
        <f t="shared" si="525"/>
        <v>0.11397798901338405</v>
      </c>
      <c r="AS509" s="113">
        <f t="shared" si="525"/>
        <v>0.10534775243462832</v>
      </c>
      <c r="AT509" s="113">
        <f t="shared" si="525"/>
        <v>0.11734361860501051</v>
      </c>
      <c r="AU509" s="113">
        <f t="shared" si="525"/>
        <v>0.1041980470754145</v>
      </c>
      <c r="AV509" s="113">
        <f t="shared" si="525"/>
        <v>0.11335360408845931</v>
      </c>
      <c r="AW509" s="113">
        <f t="shared" si="525"/>
        <v>0.10000224066908737</v>
      </c>
      <c r="AY509" s="111" t="s">
        <v>130</v>
      </c>
      <c r="AZ509" s="179">
        <f t="shared" si="501"/>
        <v>1.6168826396293821E-2</v>
      </c>
      <c r="BA509" s="179">
        <f t="shared" si="501"/>
        <v>1.77883899901198E-2</v>
      </c>
      <c r="BB509" s="179">
        <f t="shared" si="501"/>
        <v>1.7527699955474853E-2</v>
      </c>
      <c r="BC509" s="179">
        <f t="shared" si="501"/>
        <v>1.8692390198194981E-2</v>
      </c>
      <c r="BD509" s="179">
        <f t="shared" si="501"/>
        <v>1.9805377457710126E-2</v>
      </c>
      <c r="BE509" s="179">
        <f t="shared" si="501"/>
        <v>2.3234036483792079E-2</v>
      </c>
      <c r="BF509" s="179">
        <f t="shared" si="501"/>
        <v>2.0422817226781246E-2</v>
      </c>
      <c r="BG509" s="179">
        <f t="shared" si="501"/>
        <v>1.9270112695038082E-2</v>
      </c>
      <c r="BH509" s="179">
        <f t="shared" si="501"/>
        <v>1.7200385395083027E-2</v>
      </c>
    </row>
    <row r="510" spans="2:68" s="108" customFormat="1" x14ac:dyDescent="0.25">
      <c r="B510" s="107"/>
      <c r="E510" s="109" t="s">
        <v>45</v>
      </c>
      <c r="F510" s="110" t="s">
        <v>67</v>
      </c>
      <c r="G510" s="111" t="s">
        <v>131</v>
      </c>
      <c r="H510" s="112">
        <v>170467</v>
      </c>
      <c r="I510" s="112">
        <v>180866</v>
      </c>
      <c r="J510" s="112">
        <v>194294</v>
      </c>
      <c r="K510" s="112">
        <v>199585</v>
      </c>
      <c r="L510" s="112">
        <v>221407</v>
      </c>
      <c r="M510" s="112">
        <v>238433</v>
      </c>
      <c r="N510" s="112">
        <v>255089</v>
      </c>
      <c r="O510" s="112">
        <v>292275</v>
      </c>
      <c r="P510" s="112">
        <v>334638</v>
      </c>
      <c r="R510" s="111" t="s">
        <v>131</v>
      </c>
      <c r="S510" s="220">
        <v>4.2</v>
      </c>
      <c r="T510" s="220">
        <v>4.4000000000000004</v>
      </c>
      <c r="U510" s="220">
        <v>4.4000000000000004</v>
      </c>
      <c r="V510" s="220">
        <v>4.5999999999999996</v>
      </c>
      <c r="W510" s="220">
        <v>4.5999999999999996</v>
      </c>
      <c r="X510" s="220">
        <v>4.5999999999999996</v>
      </c>
      <c r="Y510" s="220">
        <v>4.2</v>
      </c>
      <c r="Z510" s="220">
        <v>4.2</v>
      </c>
      <c r="AA510" s="220">
        <v>4.2</v>
      </c>
      <c r="AC510" s="111" t="s">
        <v>131</v>
      </c>
      <c r="AD510" s="112">
        <f t="shared" si="503"/>
        <v>14319.228000000001</v>
      </c>
      <c r="AE510" s="112">
        <f t="shared" si="499"/>
        <v>15916.208000000001</v>
      </c>
      <c r="AF510" s="112">
        <f t="shared" si="499"/>
        <v>17097.872000000003</v>
      </c>
      <c r="AG510" s="112">
        <f t="shared" si="499"/>
        <v>18361.819999999996</v>
      </c>
      <c r="AH510" s="112">
        <f t="shared" si="499"/>
        <v>20369.444</v>
      </c>
      <c r="AI510" s="112">
        <f t="shared" si="499"/>
        <v>21935.835999999996</v>
      </c>
      <c r="AJ510" s="112">
        <f t="shared" si="499"/>
        <v>21427.476000000002</v>
      </c>
      <c r="AK510" s="112">
        <f t="shared" si="499"/>
        <v>24551.1</v>
      </c>
      <c r="AL510" s="112">
        <f t="shared" si="499"/>
        <v>28109.592000000001</v>
      </c>
      <c r="AN510" s="111" t="s">
        <v>131</v>
      </c>
      <c r="AO510" s="113">
        <f t="shared" ref="AO510:AW510" si="526">H510/H506</f>
        <v>0.34231764793294495</v>
      </c>
      <c r="AP510" s="113">
        <f t="shared" si="526"/>
        <v>0.34902201432629371</v>
      </c>
      <c r="AQ510" s="113">
        <f t="shared" si="526"/>
        <v>0.35600695545103239</v>
      </c>
      <c r="AR510" s="113">
        <f t="shared" si="526"/>
        <v>0.34251230030770075</v>
      </c>
      <c r="AS510" s="113">
        <f t="shared" si="526"/>
        <v>0.3555111314498583</v>
      </c>
      <c r="AT510" s="113">
        <f t="shared" si="526"/>
        <v>0.35424906324194061</v>
      </c>
      <c r="AU510" s="113">
        <f t="shared" si="526"/>
        <v>0.34993648468087324</v>
      </c>
      <c r="AV510" s="113">
        <f t="shared" si="526"/>
        <v>0.3723063440160298</v>
      </c>
      <c r="AW510" s="113">
        <f t="shared" si="526"/>
        <v>0.39463843266376636</v>
      </c>
      <c r="AY510" s="111" t="s">
        <v>131</v>
      </c>
      <c r="AZ510" s="179">
        <f t="shared" si="501"/>
        <v>2.8754682426367376E-2</v>
      </c>
      <c r="BA510" s="179">
        <f t="shared" si="501"/>
        <v>3.071393726071385E-2</v>
      </c>
      <c r="BB510" s="179">
        <f t="shared" si="501"/>
        <v>3.132861207969085E-2</v>
      </c>
      <c r="BC510" s="179">
        <f t="shared" si="501"/>
        <v>3.1511131628308466E-2</v>
      </c>
      <c r="BD510" s="179">
        <f t="shared" si="501"/>
        <v>3.2707024093386966E-2</v>
      </c>
      <c r="BE510" s="179">
        <f t="shared" si="501"/>
        <v>3.2590913818258536E-2</v>
      </c>
      <c r="BF510" s="179">
        <f t="shared" si="501"/>
        <v>2.9394664713193356E-2</v>
      </c>
      <c r="BG510" s="179">
        <f t="shared" si="501"/>
        <v>3.1273732897346501E-2</v>
      </c>
      <c r="BH510" s="179">
        <f t="shared" si="501"/>
        <v>3.3149628343756371E-2</v>
      </c>
    </row>
    <row r="511" spans="2:68" s="87" customFormat="1" x14ac:dyDescent="0.25">
      <c r="B511" s="84"/>
      <c r="C511" s="85"/>
      <c r="D511" s="85"/>
      <c r="E511" s="109" t="s">
        <v>46</v>
      </c>
      <c r="F511" s="110" t="s">
        <v>67</v>
      </c>
      <c r="G511" s="195" t="s">
        <v>7</v>
      </c>
      <c r="H511" s="69">
        <v>3421671</v>
      </c>
      <c r="I511" s="69">
        <v>3521972</v>
      </c>
      <c r="J511" s="69">
        <v>3601943</v>
      </c>
      <c r="K511" s="69">
        <v>3759257</v>
      </c>
      <c r="L511" s="69">
        <v>3866562</v>
      </c>
      <c r="M511" s="69">
        <v>3937384</v>
      </c>
      <c r="N511" s="69">
        <v>3978590</v>
      </c>
      <c r="O511" s="69">
        <v>4020680</v>
      </c>
      <c r="P511" s="69">
        <v>4129403</v>
      </c>
      <c r="R511" s="195" t="s">
        <v>7</v>
      </c>
      <c r="S511" s="226">
        <v>0.3</v>
      </c>
      <c r="T511" s="226">
        <v>0.4</v>
      </c>
      <c r="U511" s="226">
        <v>0.4</v>
      </c>
      <c r="V511" s="226">
        <v>0.4</v>
      </c>
      <c r="W511" s="226">
        <v>0.5</v>
      </c>
      <c r="X511" s="226">
        <v>0.5</v>
      </c>
      <c r="Y511" s="226">
        <v>0.5</v>
      </c>
      <c r="Z511" s="226">
        <v>0.5</v>
      </c>
      <c r="AA511" s="226">
        <v>0.5</v>
      </c>
      <c r="AC511" s="195" t="s">
        <v>7</v>
      </c>
      <c r="AD511" s="69">
        <f t="shared" si="503"/>
        <v>20530.025999999998</v>
      </c>
      <c r="AE511" s="69">
        <f t="shared" si="499"/>
        <v>28175.776000000002</v>
      </c>
      <c r="AF511" s="69">
        <f t="shared" si="499"/>
        <v>28815.544000000005</v>
      </c>
      <c r="AG511" s="69">
        <f t="shared" si="499"/>
        <v>30074.056</v>
      </c>
      <c r="AH511" s="69">
        <f t="shared" si="499"/>
        <v>38665.620000000003</v>
      </c>
      <c r="AI511" s="69">
        <f t="shared" si="499"/>
        <v>39373.839999999997</v>
      </c>
      <c r="AJ511" s="69">
        <f t="shared" si="499"/>
        <v>39785.9</v>
      </c>
      <c r="AK511" s="69">
        <f t="shared" si="499"/>
        <v>40206.800000000003</v>
      </c>
      <c r="AL511" s="69">
        <f t="shared" si="499"/>
        <v>41294.03</v>
      </c>
      <c r="AN511" s="195" t="s">
        <v>7</v>
      </c>
      <c r="AO511" s="98">
        <f t="shared" ref="AO511:AW511" si="527">H511/H511</f>
        <v>1</v>
      </c>
      <c r="AP511" s="98">
        <f t="shared" si="527"/>
        <v>1</v>
      </c>
      <c r="AQ511" s="98">
        <f t="shared" si="527"/>
        <v>1</v>
      </c>
      <c r="AR511" s="98">
        <f t="shared" si="527"/>
        <v>1</v>
      </c>
      <c r="AS511" s="98">
        <f t="shared" si="527"/>
        <v>1</v>
      </c>
      <c r="AT511" s="98">
        <f t="shared" si="527"/>
        <v>1</v>
      </c>
      <c r="AU511" s="98">
        <f t="shared" si="527"/>
        <v>1</v>
      </c>
      <c r="AV511" s="98">
        <f t="shared" si="527"/>
        <v>1</v>
      </c>
      <c r="AW511" s="98">
        <f t="shared" si="527"/>
        <v>1</v>
      </c>
      <c r="AX511" s="191"/>
      <c r="AY511" s="195" t="s">
        <v>7</v>
      </c>
      <c r="AZ511" s="178">
        <f t="shared" si="501"/>
        <v>6.0000000000000001E-3</v>
      </c>
      <c r="BA511" s="178">
        <f t="shared" si="501"/>
        <v>8.0000000000000002E-3</v>
      </c>
      <c r="BB511" s="178">
        <f t="shared" si="501"/>
        <v>8.0000000000000002E-3</v>
      </c>
      <c r="BC511" s="178">
        <f t="shared" si="501"/>
        <v>8.0000000000000002E-3</v>
      </c>
      <c r="BD511" s="178">
        <f t="shared" si="501"/>
        <v>0.01</v>
      </c>
      <c r="BE511" s="178">
        <f t="shared" si="501"/>
        <v>0.01</v>
      </c>
      <c r="BF511" s="178">
        <f t="shared" si="501"/>
        <v>0.01</v>
      </c>
      <c r="BG511" s="178">
        <f t="shared" si="501"/>
        <v>0.01</v>
      </c>
      <c r="BH511" s="178">
        <f t="shared" si="501"/>
        <v>0.01</v>
      </c>
      <c r="BI511" s="191"/>
      <c r="BJ511" s="191"/>
      <c r="BK511" s="191"/>
      <c r="BL511" s="191"/>
      <c r="BM511" s="191"/>
      <c r="BN511" s="191"/>
      <c r="BO511" s="191"/>
      <c r="BP511" s="191"/>
    </row>
    <row r="512" spans="2:68" s="108" customFormat="1" x14ac:dyDescent="0.25">
      <c r="B512" s="107"/>
      <c r="E512" s="109" t="s">
        <v>46</v>
      </c>
      <c r="F512" s="110" t="s">
        <v>67</v>
      </c>
      <c r="G512" s="111" t="s">
        <v>54</v>
      </c>
      <c r="H512" s="112">
        <v>702795</v>
      </c>
      <c r="I512" s="112">
        <v>660132</v>
      </c>
      <c r="J512" s="112">
        <v>639350</v>
      </c>
      <c r="K512" s="112">
        <v>683836</v>
      </c>
      <c r="L512" s="112">
        <v>645856</v>
      </c>
      <c r="M512" s="112">
        <v>593453</v>
      </c>
      <c r="N512" s="112">
        <v>604491</v>
      </c>
      <c r="O512" s="112">
        <v>568019</v>
      </c>
      <c r="P512" s="112">
        <v>518964</v>
      </c>
      <c r="R512" s="111" t="s">
        <v>54</v>
      </c>
      <c r="S512" s="220">
        <v>2.4</v>
      </c>
      <c r="T512" s="220">
        <v>2.7</v>
      </c>
      <c r="U512" s="220">
        <v>2.6</v>
      </c>
      <c r="V512" s="220">
        <v>2.9</v>
      </c>
      <c r="W512" s="220">
        <v>3.3</v>
      </c>
      <c r="X512" s="220">
        <v>3.7</v>
      </c>
      <c r="Y512" s="220">
        <v>3</v>
      </c>
      <c r="Z512" s="220">
        <v>3.5</v>
      </c>
      <c r="AA512" s="220">
        <v>3.5</v>
      </c>
      <c r="AC512" s="111" t="s">
        <v>54</v>
      </c>
      <c r="AD512" s="112">
        <f t="shared" si="503"/>
        <v>33734.160000000003</v>
      </c>
      <c r="AE512" s="112">
        <f t="shared" si="499"/>
        <v>35647.128000000004</v>
      </c>
      <c r="AF512" s="112">
        <f t="shared" si="499"/>
        <v>33246.199999999997</v>
      </c>
      <c r="AG512" s="112">
        <f t="shared" si="499"/>
        <v>39662.487999999998</v>
      </c>
      <c r="AH512" s="112">
        <f t="shared" si="499"/>
        <v>42626.495999999999</v>
      </c>
      <c r="AI512" s="112">
        <f t="shared" si="499"/>
        <v>43915.522000000004</v>
      </c>
      <c r="AJ512" s="112">
        <f t="shared" si="499"/>
        <v>36269.46</v>
      </c>
      <c r="AK512" s="112">
        <f t="shared" si="499"/>
        <v>39761.33</v>
      </c>
      <c r="AL512" s="112">
        <f t="shared" si="499"/>
        <v>36327.480000000003</v>
      </c>
      <c r="AN512" s="111" t="s">
        <v>54</v>
      </c>
      <c r="AO512" s="113">
        <f t="shared" ref="AO512:AW512" si="528">H512/H511</f>
        <v>0.20539525863240504</v>
      </c>
      <c r="AP512" s="113">
        <f t="shared" si="528"/>
        <v>0.18743249520439118</v>
      </c>
      <c r="AQ512" s="113">
        <f t="shared" si="528"/>
        <v>0.17750142076096151</v>
      </c>
      <c r="AR512" s="113">
        <f t="shared" si="528"/>
        <v>0.18190722262404513</v>
      </c>
      <c r="AS512" s="113">
        <f t="shared" si="528"/>
        <v>0.16703624563630429</v>
      </c>
      <c r="AT512" s="113">
        <f t="shared" si="528"/>
        <v>0.1507226625597097</v>
      </c>
      <c r="AU512" s="113">
        <f t="shared" si="528"/>
        <v>0.15193598737241082</v>
      </c>
      <c r="AV512" s="113">
        <f t="shared" si="528"/>
        <v>0.14127436155078246</v>
      </c>
      <c r="AW512" s="113">
        <f t="shared" si="528"/>
        <v>0.12567530948178224</v>
      </c>
      <c r="AY512" s="111" t="s">
        <v>54</v>
      </c>
      <c r="AZ512" s="179">
        <f t="shared" si="501"/>
        <v>9.8589724143554412E-3</v>
      </c>
      <c r="BA512" s="179">
        <f t="shared" si="501"/>
        <v>1.0121354741037125E-2</v>
      </c>
      <c r="BB512" s="179">
        <f t="shared" si="501"/>
        <v>9.2300738795699985E-3</v>
      </c>
      <c r="BC512" s="179">
        <f t="shared" si="501"/>
        <v>1.0550618912194618E-2</v>
      </c>
      <c r="BD512" s="179">
        <f t="shared" si="501"/>
        <v>1.1024392211996081E-2</v>
      </c>
      <c r="BE512" s="179">
        <f t="shared" si="501"/>
        <v>1.115347702941852E-2</v>
      </c>
      <c r="BF512" s="179">
        <f t="shared" si="501"/>
        <v>9.11615924234465E-3</v>
      </c>
      <c r="BG512" s="179">
        <f t="shared" si="501"/>
        <v>9.8892053085547719E-3</v>
      </c>
      <c r="BH512" s="179">
        <f t="shared" si="501"/>
        <v>8.7972716637247581E-3</v>
      </c>
    </row>
    <row r="513" spans="2:68" s="108" customFormat="1" x14ac:dyDescent="0.25">
      <c r="B513" s="107"/>
      <c r="E513" s="109" t="s">
        <v>46</v>
      </c>
      <c r="F513" s="110" t="s">
        <v>67</v>
      </c>
      <c r="G513" s="111" t="s">
        <v>55</v>
      </c>
      <c r="H513" s="70">
        <v>907169</v>
      </c>
      <c r="I513" s="70">
        <v>937109</v>
      </c>
      <c r="J513" s="70">
        <v>948672</v>
      </c>
      <c r="K513" s="70">
        <v>974736</v>
      </c>
      <c r="L513" s="70">
        <v>1006261</v>
      </c>
      <c r="M513" s="70">
        <v>1018173</v>
      </c>
      <c r="N513" s="70">
        <v>1049004</v>
      </c>
      <c r="O513" s="112">
        <v>1044928</v>
      </c>
      <c r="P513" s="112">
        <v>1025334</v>
      </c>
      <c r="R513" s="111" t="s">
        <v>55</v>
      </c>
      <c r="S513" s="81">
        <v>1.8</v>
      </c>
      <c r="T513" s="81">
        <v>2.1</v>
      </c>
      <c r="U513" s="81">
        <v>2.1</v>
      </c>
      <c r="V513" s="81">
        <v>2.2999999999999998</v>
      </c>
      <c r="W513" s="81">
        <v>2.1</v>
      </c>
      <c r="X513" s="81">
        <v>2.4</v>
      </c>
      <c r="Y513" s="81">
        <v>1.9</v>
      </c>
      <c r="Z513" s="81">
        <v>1.7</v>
      </c>
      <c r="AA513" s="81">
        <v>1.7</v>
      </c>
      <c r="AC513" s="111" t="s">
        <v>55</v>
      </c>
      <c r="AD513" s="70">
        <f t="shared" si="503"/>
        <v>32658.083999999999</v>
      </c>
      <c r="AE513" s="70">
        <f t="shared" si="499"/>
        <v>39358.578000000001</v>
      </c>
      <c r="AF513" s="70">
        <f t="shared" si="499"/>
        <v>39844.224000000002</v>
      </c>
      <c r="AG513" s="70">
        <f t="shared" si="499"/>
        <v>44837.856</v>
      </c>
      <c r="AH513" s="70">
        <f t="shared" si="499"/>
        <v>42262.962</v>
      </c>
      <c r="AI513" s="70">
        <f t="shared" si="499"/>
        <v>48872.303999999996</v>
      </c>
      <c r="AJ513" s="70">
        <f t="shared" si="499"/>
        <v>39862.151999999995</v>
      </c>
      <c r="AK513" s="70">
        <f t="shared" si="499"/>
        <v>35527.551999999996</v>
      </c>
      <c r="AL513" s="70">
        <f t="shared" si="499"/>
        <v>34861.356</v>
      </c>
      <c r="AN513" s="111" t="s">
        <v>55</v>
      </c>
      <c r="AO513" s="113">
        <f t="shared" ref="AO513:AW513" si="529">H513/H511</f>
        <v>0.26512455464011592</v>
      </c>
      <c r="AP513" s="113">
        <f t="shared" si="529"/>
        <v>0.26607508520794598</v>
      </c>
      <c r="AQ513" s="113">
        <f t="shared" si="529"/>
        <v>0.26337784912198775</v>
      </c>
      <c r="AR513" s="113">
        <f t="shared" si="529"/>
        <v>0.25928953513952357</v>
      </c>
      <c r="AS513" s="113">
        <f t="shared" si="529"/>
        <v>0.2602469584090466</v>
      </c>
      <c r="AT513" s="113">
        <f t="shared" si="529"/>
        <v>0.25859123722756022</v>
      </c>
      <c r="AU513" s="113">
        <f t="shared" si="529"/>
        <v>0.26366225220492689</v>
      </c>
      <c r="AV513" s="113">
        <f t="shared" si="529"/>
        <v>0.25988837709044244</v>
      </c>
      <c r="AW513" s="113">
        <f t="shared" si="529"/>
        <v>0.24830078343043777</v>
      </c>
      <c r="AY513" s="111" t="s">
        <v>55</v>
      </c>
      <c r="AZ513" s="179">
        <f t="shared" si="501"/>
        <v>9.5444839670441733E-3</v>
      </c>
      <c r="BA513" s="179">
        <f t="shared" si="501"/>
        <v>1.1175153578733731E-2</v>
      </c>
      <c r="BB513" s="179">
        <f t="shared" si="501"/>
        <v>1.1061869663123487E-2</v>
      </c>
      <c r="BC513" s="179">
        <f t="shared" si="501"/>
        <v>1.1927318616418082E-2</v>
      </c>
      <c r="BD513" s="179">
        <f t="shared" si="501"/>
        <v>1.0930372253179959E-2</v>
      </c>
      <c r="BE513" s="179">
        <f t="shared" si="501"/>
        <v>1.2412379386922889E-2</v>
      </c>
      <c r="BF513" s="179">
        <f t="shared" si="501"/>
        <v>1.0019165583787222E-2</v>
      </c>
      <c r="BG513" s="179">
        <f t="shared" si="501"/>
        <v>8.8362048210750416E-3</v>
      </c>
      <c r="BH513" s="179">
        <f t="shared" si="501"/>
        <v>8.4422266366348843E-3</v>
      </c>
    </row>
    <row r="514" spans="2:68" s="108" customFormat="1" x14ac:dyDescent="0.25">
      <c r="B514" s="107"/>
      <c r="E514" s="109" t="s">
        <v>46</v>
      </c>
      <c r="F514" s="110" t="s">
        <v>67</v>
      </c>
      <c r="G514" s="111" t="s">
        <v>130</v>
      </c>
      <c r="H514" s="70">
        <v>414924</v>
      </c>
      <c r="I514" s="70">
        <v>451526</v>
      </c>
      <c r="J514" s="70">
        <v>449040</v>
      </c>
      <c r="K514" s="70">
        <v>444421</v>
      </c>
      <c r="L514" s="70">
        <v>444485</v>
      </c>
      <c r="M514" s="70">
        <v>524746</v>
      </c>
      <c r="N514" s="70">
        <v>487050</v>
      </c>
      <c r="O514" s="112">
        <v>487601</v>
      </c>
      <c r="P514" s="112">
        <v>531783</v>
      </c>
      <c r="R514" s="111" t="s">
        <v>130</v>
      </c>
      <c r="S514" s="220">
        <v>2.7</v>
      </c>
      <c r="T514" s="220">
        <v>2.9</v>
      </c>
      <c r="U514" s="220">
        <v>3</v>
      </c>
      <c r="V514" s="220">
        <v>3</v>
      </c>
      <c r="W514" s="220">
        <v>3.7</v>
      </c>
      <c r="X514" s="220">
        <v>3.7</v>
      </c>
      <c r="Y514" s="220">
        <v>4</v>
      </c>
      <c r="Z514" s="220">
        <v>3.7</v>
      </c>
      <c r="AA514" s="220">
        <v>3.5</v>
      </c>
      <c r="AC514" s="111" t="s">
        <v>130</v>
      </c>
      <c r="AD514" s="70">
        <f t="shared" si="503"/>
        <v>22405.896000000001</v>
      </c>
      <c r="AE514" s="70">
        <f t="shared" si="499"/>
        <v>26188.507999999998</v>
      </c>
      <c r="AF514" s="70">
        <f t="shared" si="499"/>
        <v>26942.400000000001</v>
      </c>
      <c r="AG514" s="70">
        <f t="shared" si="499"/>
        <v>26665.26</v>
      </c>
      <c r="AH514" s="70">
        <f t="shared" si="499"/>
        <v>32891.89</v>
      </c>
      <c r="AI514" s="70">
        <f t="shared" si="499"/>
        <v>38831.204000000005</v>
      </c>
      <c r="AJ514" s="70">
        <f t="shared" si="499"/>
        <v>38964</v>
      </c>
      <c r="AK514" s="70">
        <f t="shared" si="499"/>
        <v>36082.474000000002</v>
      </c>
      <c r="AL514" s="70">
        <f t="shared" si="499"/>
        <v>37224.81</v>
      </c>
      <c r="AN514" s="111" t="s">
        <v>130</v>
      </c>
      <c r="AO514" s="113">
        <f t="shared" ref="AO514:AW514" si="530">H514/H511</f>
        <v>0.12126355806855774</v>
      </c>
      <c r="AP514" s="113">
        <f t="shared" si="530"/>
        <v>0.12820260922006194</v>
      </c>
      <c r="AQ514" s="113">
        <f t="shared" si="530"/>
        <v>0.12466604829671096</v>
      </c>
      <c r="AR514" s="113">
        <f t="shared" si="530"/>
        <v>0.11822043558075439</v>
      </c>
      <c r="AS514" s="113">
        <f t="shared" si="530"/>
        <v>0.1149561289848708</v>
      </c>
      <c r="AT514" s="113">
        <f t="shared" si="530"/>
        <v>0.13327275165439795</v>
      </c>
      <c r="AU514" s="113">
        <f t="shared" si="530"/>
        <v>0.12241774095848026</v>
      </c>
      <c r="AV514" s="113">
        <f t="shared" si="530"/>
        <v>0.12127326720853189</v>
      </c>
      <c r="AW514" s="113">
        <f t="shared" si="530"/>
        <v>0.1287796323100458</v>
      </c>
      <c r="AY514" s="111" t="s">
        <v>130</v>
      </c>
      <c r="AZ514" s="179">
        <f t="shared" si="501"/>
        <v>6.5482321357021181E-3</v>
      </c>
      <c r="BA514" s="179">
        <f t="shared" si="501"/>
        <v>7.4357513347635918E-3</v>
      </c>
      <c r="BB514" s="179">
        <f t="shared" si="501"/>
        <v>7.4799628978026575E-3</v>
      </c>
      <c r="BC514" s="179">
        <f t="shared" ref="BC514:BH525" si="531">2*(V514*AR514/100)</f>
        <v>7.0932261348452628E-3</v>
      </c>
      <c r="BD514" s="179">
        <f t="shared" si="531"/>
        <v>8.50675354488044E-3</v>
      </c>
      <c r="BE514" s="179">
        <f t="shared" si="531"/>
        <v>9.862183622425448E-3</v>
      </c>
      <c r="BF514" s="179">
        <f t="shared" si="531"/>
        <v>9.7934192766784209E-3</v>
      </c>
      <c r="BG514" s="179">
        <f t="shared" si="531"/>
        <v>8.9742217734313599E-3</v>
      </c>
      <c r="BH514" s="179">
        <f t="shared" si="531"/>
        <v>9.0145742617032051E-3</v>
      </c>
    </row>
    <row r="515" spans="2:68" s="108" customFormat="1" x14ac:dyDescent="0.25">
      <c r="B515" s="107"/>
      <c r="E515" s="109" t="s">
        <v>46</v>
      </c>
      <c r="F515" s="110" t="s">
        <v>67</v>
      </c>
      <c r="G515" s="111" t="s">
        <v>131</v>
      </c>
      <c r="H515" s="112">
        <v>1374517</v>
      </c>
      <c r="I515" s="112">
        <v>1457192</v>
      </c>
      <c r="J515" s="112">
        <v>1550193</v>
      </c>
      <c r="K515" s="112">
        <v>1635235</v>
      </c>
      <c r="L515" s="112">
        <v>1760436</v>
      </c>
      <c r="M515" s="112">
        <v>1785577</v>
      </c>
      <c r="N515" s="112">
        <v>1818115</v>
      </c>
      <c r="O515" s="112">
        <v>1920132</v>
      </c>
      <c r="P515" s="112">
        <v>2053322</v>
      </c>
      <c r="R515" s="111" t="s">
        <v>131</v>
      </c>
      <c r="S515" s="220">
        <v>1.5</v>
      </c>
      <c r="T515" s="220">
        <v>4.2</v>
      </c>
      <c r="U515" s="220">
        <v>1.7</v>
      </c>
      <c r="V515" s="220">
        <v>1.7</v>
      </c>
      <c r="W515" s="220">
        <v>1.6</v>
      </c>
      <c r="X515" s="220">
        <v>1.1000000000000001</v>
      </c>
      <c r="Y515" s="220">
        <v>1.9</v>
      </c>
      <c r="Z515" s="220">
        <v>1.7</v>
      </c>
      <c r="AA515" s="220">
        <v>1.3</v>
      </c>
      <c r="AC515" s="111" t="s">
        <v>131</v>
      </c>
      <c r="AD515" s="112">
        <f t="shared" si="503"/>
        <v>41235.51</v>
      </c>
      <c r="AE515" s="112">
        <f t="shared" si="499"/>
        <v>122404.12800000001</v>
      </c>
      <c r="AF515" s="112">
        <f t="shared" si="499"/>
        <v>52706.562000000005</v>
      </c>
      <c r="AG515" s="112">
        <f t="shared" si="499"/>
        <v>55597.99</v>
      </c>
      <c r="AH515" s="112">
        <f t="shared" si="499"/>
        <v>56333.952000000005</v>
      </c>
      <c r="AI515" s="112">
        <f t="shared" si="499"/>
        <v>39282.694000000003</v>
      </c>
      <c r="AJ515" s="112">
        <f t="shared" si="499"/>
        <v>69088.37</v>
      </c>
      <c r="AK515" s="112">
        <f t="shared" si="499"/>
        <v>65284.487999999998</v>
      </c>
      <c r="AL515" s="112">
        <f t="shared" si="499"/>
        <v>53386.372000000003</v>
      </c>
      <c r="AN515" s="111" t="s">
        <v>131</v>
      </c>
      <c r="AO515" s="113">
        <f t="shared" ref="AO515:AW515" si="532">H515/H511</f>
        <v>0.40170928180996945</v>
      </c>
      <c r="AP515" s="113">
        <f t="shared" si="532"/>
        <v>0.41374320976998114</v>
      </c>
      <c r="AQ515" s="113">
        <f t="shared" si="532"/>
        <v>0.4303768826991432</v>
      </c>
      <c r="AR515" s="113">
        <f t="shared" si="532"/>
        <v>0.43498888211154491</v>
      </c>
      <c r="AS515" s="113">
        <f t="shared" si="532"/>
        <v>0.45529749684603532</v>
      </c>
      <c r="AT515" s="113">
        <f t="shared" si="532"/>
        <v>0.45349323307048539</v>
      </c>
      <c r="AU515" s="113">
        <f t="shared" si="532"/>
        <v>0.45697470711985905</v>
      </c>
      <c r="AV515" s="113">
        <f t="shared" si="532"/>
        <v>0.47756399415024325</v>
      </c>
      <c r="AW515" s="113">
        <f t="shared" si="532"/>
        <v>0.4972442747777342</v>
      </c>
      <c r="AY515" s="111" t="s">
        <v>131</v>
      </c>
      <c r="AZ515" s="179">
        <f t="shared" ref="AZ515:BB525" si="533">2*(S515*AO515/100)</f>
        <v>1.2051278454299083E-2</v>
      </c>
      <c r="BA515" s="179">
        <f t="shared" si="533"/>
        <v>3.4754429620678415E-2</v>
      </c>
      <c r="BB515" s="179">
        <f t="shared" si="533"/>
        <v>1.463281401177087E-2</v>
      </c>
      <c r="BC515" s="179">
        <f t="shared" si="531"/>
        <v>1.4789621991792526E-2</v>
      </c>
      <c r="BD515" s="179">
        <f t="shared" si="531"/>
        <v>1.4569519899073131E-2</v>
      </c>
      <c r="BE515" s="179">
        <f t="shared" si="531"/>
        <v>9.9768511275506802E-3</v>
      </c>
      <c r="BF515" s="179">
        <f t="shared" si="531"/>
        <v>1.7365038870554642E-2</v>
      </c>
      <c r="BG515" s="179">
        <f t="shared" si="531"/>
        <v>1.623717580110827E-2</v>
      </c>
      <c r="BH515" s="179">
        <f t="shared" si="531"/>
        <v>1.2928351144221089E-2</v>
      </c>
    </row>
    <row r="516" spans="2:68" s="87" customFormat="1" x14ac:dyDescent="0.25">
      <c r="B516" s="84"/>
      <c r="C516" s="85"/>
      <c r="D516" s="85"/>
      <c r="E516" s="109" t="s">
        <v>4</v>
      </c>
      <c r="F516" s="110" t="s">
        <v>67</v>
      </c>
      <c r="G516" s="195" t="s">
        <v>7</v>
      </c>
      <c r="H516" s="69">
        <v>1686387</v>
      </c>
      <c r="I516" s="69">
        <v>1732295</v>
      </c>
      <c r="J516" s="69">
        <v>1775101</v>
      </c>
      <c r="K516" s="69">
        <v>1853629</v>
      </c>
      <c r="L516" s="69">
        <v>1908028</v>
      </c>
      <c r="M516" s="69">
        <v>1941105</v>
      </c>
      <c r="N516" s="69">
        <v>1962926</v>
      </c>
      <c r="O516" s="69">
        <v>1981121</v>
      </c>
      <c r="P516" s="69">
        <v>2035273</v>
      </c>
      <c r="R516" s="195" t="s">
        <v>7</v>
      </c>
      <c r="S516" s="226">
        <v>1.1000000000000001</v>
      </c>
      <c r="T516" s="226">
        <v>0.7</v>
      </c>
      <c r="U516" s="226">
        <v>0.7</v>
      </c>
      <c r="V516" s="226">
        <v>0.6</v>
      </c>
      <c r="W516" s="226">
        <v>0.6</v>
      </c>
      <c r="X516" s="226">
        <v>0.7</v>
      </c>
      <c r="Y516" s="226">
        <v>0.6</v>
      </c>
      <c r="Z516" s="226">
        <v>0.6</v>
      </c>
      <c r="AA516" s="226">
        <v>0.6</v>
      </c>
      <c r="AC516" s="195" t="s">
        <v>7</v>
      </c>
      <c r="AD516" s="69">
        <f t="shared" si="503"/>
        <v>37100.514000000003</v>
      </c>
      <c r="AE516" s="69">
        <f t="shared" si="499"/>
        <v>24252.13</v>
      </c>
      <c r="AF516" s="69">
        <f t="shared" si="499"/>
        <v>24851.414000000001</v>
      </c>
      <c r="AG516" s="69">
        <f t="shared" si="499"/>
        <v>22243.547999999999</v>
      </c>
      <c r="AH516" s="69">
        <f t="shared" si="499"/>
        <v>22896.335999999999</v>
      </c>
      <c r="AI516" s="69">
        <f t="shared" si="499"/>
        <v>27175.47</v>
      </c>
      <c r="AJ516" s="69">
        <f t="shared" si="499"/>
        <v>23555.111999999997</v>
      </c>
      <c r="AK516" s="69">
        <f t="shared" si="499"/>
        <v>23773.451999999997</v>
      </c>
      <c r="AL516" s="69">
        <f t="shared" si="499"/>
        <v>24423.276000000002</v>
      </c>
      <c r="AN516" s="195" t="s">
        <v>7</v>
      </c>
      <c r="AO516" s="98">
        <f t="shared" ref="AO516:AW516" si="534">H516/H516</f>
        <v>1</v>
      </c>
      <c r="AP516" s="98">
        <f t="shared" si="534"/>
        <v>1</v>
      </c>
      <c r="AQ516" s="98">
        <f t="shared" si="534"/>
        <v>1</v>
      </c>
      <c r="AR516" s="98">
        <f t="shared" si="534"/>
        <v>1</v>
      </c>
      <c r="AS516" s="98">
        <f t="shared" si="534"/>
        <v>1</v>
      </c>
      <c r="AT516" s="98">
        <f t="shared" si="534"/>
        <v>1</v>
      </c>
      <c r="AU516" s="98">
        <f t="shared" si="534"/>
        <v>1</v>
      </c>
      <c r="AV516" s="98">
        <f t="shared" si="534"/>
        <v>1</v>
      </c>
      <c r="AW516" s="98">
        <f t="shared" si="534"/>
        <v>1</v>
      </c>
      <c r="AX516" s="191"/>
      <c r="AY516" s="195" t="s">
        <v>7</v>
      </c>
      <c r="AZ516" s="178">
        <f t="shared" si="533"/>
        <v>2.2000000000000002E-2</v>
      </c>
      <c r="BA516" s="178">
        <f t="shared" si="533"/>
        <v>1.3999999999999999E-2</v>
      </c>
      <c r="BB516" s="178">
        <f t="shared" si="533"/>
        <v>1.3999999999999999E-2</v>
      </c>
      <c r="BC516" s="178">
        <f t="shared" si="531"/>
        <v>1.2E-2</v>
      </c>
      <c r="BD516" s="178">
        <f t="shared" si="531"/>
        <v>1.2E-2</v>
      </c>
      <c r="BE516" s="178">
        <f t="shared" si="531"/>
        <v>1.3999999999999999E-2</v>
      </c>
      <c r="BF516" s="178">
        <f t="shared" si="531"/>
        <v>1.2E-2</v>
      </c>
      <c r="BG516" s="178">
        <f t="shared" si="531"/>
        <v>1.2E-2</v>
      </c>
      <c r="BH516" s="178">
        <f t="shared" si="531"/>
        <v>1.2E-2</v>
      </c>
      <c r="BI516" s="191"/>
      <c r="BJ516" s="191"/>
      <c r="BK516" s="191"/>
      <c r="BL516" s="191"/>
      <c r="BM516" s="191"/>
      <c r="BN516" s="191"/>
      <c r="BO516" s="191"/>
      <c r="BP516" s="191"/>
    </row>
    <row r="517" spans="2:68" s="108" customFormat="1" x14ac:dyDescent="0.25">
      <c r="B517" s="107"/>
      <c r="E517" s="109" t="s">
        <v>4</v>
      </c>
      <c r="F517" s="110" t="s">
        <v>67</v>
      </c>
      <c r="G517" s="111" t="s">
        <v>54</v>
      </c>
      <c r="H517" s="112">
        <v>375615</v>
      </c>
      <c r="I517" s="112">
        <v>370876</v>
      </c>
      <c r="J517" s="112">
        <v>347418</v>
      </c>
      <c r="K517" s="112">
        <v>386131</v>
      </c>
      <c r="L517" s="112">
        <v>366394</v>
      </c>
      <c r="M517" s="112">
        <v>313945</v>
      </c>
      <c r="N517" s="112">
        <v>360915</v>
      </c>
      <c r="O517" s="112">
        <v>339362</v>
      </c>
      <c r="P517" s="112">
        <v>313430</v>
      </c>
      <c r="R517" s="111" t="s">
        <v>54</v>
      </c>
      <c r="S517" s="220">
        <v>3.2</v>
      </c>
      <c r="T517" s="220">
        <v>3.2</v>
      </c>
      <c r="U517" s="220">
        <v>3.5</v>
      </c>
      <c r="V517" s="220">
        <v>3.3</v>
      </c>
      <c r="W517" s="220">
        <v>3.3</v>
      </c>
      <c r="X517" s="220">
        <v>4.9000000000000004</v>
      </c>
      <c r="Y517" s="220">
        <v>4.0999999999999996</v>
      </c>
      <c r="Z517" s="220">
        <v>5.8</v>
      </c>
      <c r="AA517" s="220">
        <v>5.7</v>
      </c>
      <c r="AC517" s="111" t="s">
        <v>54</v>
      </c>
      <c r="AD517" s="112">
        <f t="shared" si="503"/>
        <v>24039.360000000001</v>
      </c>
      <c r="AE517" s="112">
        <f t="shared" si="499"/>
        <v>23736.063999999998</v>
      </c>
      <c r="AF517" s="112">
        <f t="shared" si="499"/>
        <v>24319.26</v>
      </c>
      <c r="AG517" s="112">
        <f t="shared" si="499"/>
        <v>25484.646000000001</v>
      </c>
      <c r="AH517" s="112">
        <f t="shared" si="499"/>
        <v>24182.004000000001</v>
      </c>
      <c r="AI517" s="112">
        <f t="shared" si="499"/>
        <v>30766.61</v>
      </c>
      <c r="AJ517" s="112">
        <f t="shared" si="499"/>
        <v>29595.029999999995</v>
      </c>
      <c r="AK517" s="112">
        <f t="shared" si="499"/>
        <v>39365.991999999998</v>
      </c>
      <c r="AL517" s="112">
        <f t="shared" si="499"/>
        <v>35731.019999999997</v>
      </c>
      <c r="AN517" s="111" t="s">
        <v>54</v>
      </c>
      <c r="AO517" s="113">
        <f t="shared" ref="AO517:AW517" si="535">H517/H516</f>
        <v>0.22273357183137679</v>
      </c>
      <c r="AP517" s="113">
        <f t="shared" si="535"/>
        <v>0.21409517432077099</v>
      </c>
      <c r="AQ517" s="113">
        <f t="shared" si="535"/>
        <v>0.1957173141133941</v>
      </c>
      <c r="AR517" s="113">
        <f t="shared" si="535"/>
        <v>0.20831083242655354</v>
      </c>
      <c r="AS517" s="113">
        <f t="shared" si="535"/>
        <v>0.19202758030804579</v>
      </c>
      <c r="AT517" s="113">
        <f t="shared" si="535"/>
        <v>0.16173519722014007</v>
      </c>
      <c r="AU517" s="113">
        <f t="shared" si="535"/>
        <v>0.18386582071866184</v>
      </c>
      <c r="AV517" s="113">
        <f t="shared" si="535"/>
        <v>0.17129796716101642</v>
      </c>
      <c r="AW517" s="113">
        <f t="shared" si="535"/>
        <v>0.15399899669479231</v>
      </c>
      <c r="AY517" s="111" t="s">
        <v>54</v>
      </c>
      <c r="AZ517" s="179">
        <f t="shared" si="533"/>
        <v>1.4254948597208114E-2</v>
      </c>
      <c r="BA517" s="179">
        <f t="shared" si="533"/>
        <v>1.3702091156529343E-2</v>
      </c>
      <c r="BB517" s="179">
        <f t="shared" si="533"/>
        <v>1.3700211987937588E-2</v>
      </c>
      <c r="BC517" s="179">
        <f t="shared" si="531"/>
        <v>1.3748514940152534E-2</v>
      </c>
      <c r="BD517" s="179">
        <f t="shared" si="531"/>
        <v>1.2673820300331019E-2</v>
      </c>
      <c r="BE517" s="179">
        <f t="shared" si="531"/>
        <v>1.5850049327573727E-2</v>
      </c>
      <c r="BF517" s="179">
        <f t="shared" si="531"/>
        <v>1.5076997298930271E-2</v>
      </c>
      <c r="BG517" s="179">
        <f t="shared" si="531"/>
        <v>1.9870564190677904E-2</v>
      </c>
      <c r="BH517" s="179">
        <f t="shared" si="531"/>
        <v>1.7555885623206324E-2</v>
      </c>
    </row>
    <row r="518" spans="2:68" s="108" customFormat="1" x14ac:dyDescent="0.25">
      <c r="B518" s="107"/>
      <c r="E518" s="109" t="s">
        <v>4</v>
      </c>
      <c r="F518" s="110" t="s">
        <v>67</v>
      </c>
      <c r="G518" s="111" t="s">
        <v>55</v>
      </c>
      <c r="H518" s="70">
        <v>488772</v>
      </c>
      <c r="I518" s="70">
        <v>503387</v>
      </c>
      <c r="J518" s="70">
        <v>506507</v>
      </c>
      <c r="K518" s="70">
        <v>525533</v>
      </c>
      <c r="L518" s="70">
        <v>536178</v>
      </c>
      <c r="M518" s="70">
        <v>576382</v>
      </c>
      <c r="N518" s="70">
        <v>583083</v>
      </c>
      <c r="O518" s="112">
        <v>568595</v>
      </c>
      <c r="P518" s="112">
        <v>542481</v>
      </c>
      <c r="R518" s="111" t="s">
        <v>55</v>
      </c>
      <c r="S518" s="81">
        <v>2.7</v>
      </c>
      <c r="T518" s="81">
        <v>2.9</v>
      </c>
      <c r="U518" s="81">
        <v>3</v>
      </c>
      <c r="V518" s="81">
        <v>3</v>
      </c>
      <c r="W518" s="81">
        <v>3.5</v>
      </c>
      <c r="X518" s="81">
        <v>4.0999999999999996</v>
      </c>
      <c r="Y518" s="81">
        <v>2.2999999999999998</v>
      </c>
      <c r="Z518" s="81">
        <v>3.7</v>
      </c>
      <c r="AA518" s="81">
        <v>3.6</v>
      </c>
      <c r="AC518" s="111" t="s">
        <v>55</v>
      </c>
      <c r="AD518" s="70">
        <f t="shared" si="503"/>
        <v>26393.688000000002</v>
      </c>
      <c r="AE518" s="70">
        <f t="shared" si="499"/>
        <v>29196.446</v>
      </c>
      <c r="AF518" s="70">
        <f t="shared" ref="AF518:AL557" si="536">2*(J518*U518/100)</f>
        <v>30390.42</v>
      </c>
      <c r="AG518" s="70">
        <f t="shared" si="536"/>
        <v>31531.98</v>
      </c>
      <c r="AH518" s="70">
        <f t="shared" si="536"/>
        <v>37532.46</v>
      </c>
      <c r="AI518" s="70">
        <f t="shared" si="536"/>
        <v>47263.323999999993</v>
      </c>
      <c r="AJ518" s="70">
        <f t="shared" si="536"/>
        <v>26821.817999999999</v>
      </c>
      <c r="AK518" s="70">
        <f t="shared" si="536"/>
        <v>42076.03</v>
      </c>
      <c r="AL518" s="70">
        <f t="shared" si="536"/>
        <v>39058.632000000005</v>
      </c>
      <c r="AN518" s="111" t="s">
        <v>55</v>
      </c>
      <c r="AO518" s="113">
        <f t="shared" ref="AO518:AW518" si="537">H518/H516</f>
        <v>0.28983382817822956</v>
      </c>
      <c r="AP518" s="113">
        <f t="shared" si="537"/>
        <v>0.29058965130073111</v>
      </c>
      <c r="AQ518" s="113">
        <f t="shared" si="537"/>
        <v>0.28533982010037739</v>
      </c>
      <c r="AR518" s="113">
        <f t="shared" si="537"/>
        <v>0.28351574128371965</v>
      </c>
      <c r="AS518" s="113">
        <f t="shared" si="537"/>
        <v>0.28101159941049081</v>
      </c>
      <c r="AT518" s="113">
        <f t="shared" si="537"/>
        <v>0.29693499321262889</v>
      </c>
      <c r="AU518" s="113">
        <f t="shared" si="537"/>
        <v>0.29704787648642894</v>
      </c>
      <c r="AV518" s="113">
        <f t="shared" si="537"/>
        <v>0.28700669974221665</v>
      </c>
      <c r="AW518" s="113">
        <f t="shared" si="537"/>
        <v>0.26653967305614529</v>
      </c>
      <c r="AY518" s="111" t="s">
        <v>55</v>
      </c>
      <c r="AZ518" s="179">
        <f t="shared" si="533"/>
        <v>1.5651026721624398E-2</v>
      </c>
      <c r="BA518" s="179">
        <f t="shared" si="533"/>
        <v>1.6854199775442405E-2</v>
      </c>
      <c r="BB518" s="179">
        <f t="shared" si="533"/>
        <v>1.7120389206022643E-2</v>
      </c>
      <c r="BC518" s="179">
        <f t="shared" si="531"/>
        <v>1.7010944477023178E-2</v>
      </c>
      <c r="BD518" s="179">
        <f t="shared" si="531"/>
        <v>1.9670811958734356E-2</v>
      </c>
      <c r="BE518" s="179">
        <f t="shared" si="531"/>
        <v>2.4348669443435566E-2</v>
      </c>
      <c r="BF518" s="179">
        <f t="shared" si="531"/>
        <v>1.3664202318375731E-2</v>
      </c>
      <c r="BG518" s="179">
        <f t="shared" si="531"/>
        <v>2.123849578092403E-2</v>
      </c>
      <c r="BH518" s="179">
        <f t="shared" si="531"/>
        <v>1.9190856460042462E-2</v>
      </c>
    </row>
    <row r="519" spans="2:68" s="108" customFormat="1" x14ac:dyDescent="0.25">
      <c r="B519" s="107"/>
      <c r="E519" s="109" t="s">
        <v>4</v>
      </c>
      <c r="F519" s="110" t="s">
        <v>67</v>
      </c>
      <c r="G519" s="111" t="s">
        <v>130</v>
      </c>
      <c r="H519" s="70">
        <v>212629</v>
      </c>
      <c r="I519" s="70">
        <v>219735</v>
      </c>
      <c r="J519" s="70">
        <v>233046</v>
      </c>
      <c r="K519" s="70">
        <v>228823</v>
      </c>
      <c r="L519" s="70">
        <v>237998</v>
      </c>
      <c r="M519" s="70">
        <v>276593</v>
      </c>
      <c r="N519" s="70">
        <v>257614</v>
      </c>
      <c r="O519" s="112">
        <v>259509</v>
      </c>
      <c r="P519" s="112">
        <v>285991</v>
      </c>
      <c r="R519" s="111" t="s">
        <v>130</v>
      </c>
      <c r="S519" s="220">
        <v>3.9</v>
      </c>
      <c r="T519" s="220">
        <v>4.4000000000000004</v>
      </c>
      <c r="U519" s="220">
        <v>4.4000000000000004</v>
      </c>
      <c r="V519" s="220">
        <v>4.5999999999999996</v>
      </c>
      <c r="W519" s="220">
        <v>5.4</v>
      </c>
      <c r="X519" s="220">
        <v>6</v>
      </c>
      <c r="Y519" s="220">
        <v>5.4</v>
      </c>
      <c r="Z519" s="220">
        <v>5.8</v>
      </c>
      <c r="AA519" s="220">
        <v>5.7</v>
      </c>
      <c r="AC519" s="111" t="s">
        <v>130</v>
      </c>
      <c r="AD519" s="70">
        <f t="shared" si="503"/>
        <v>16585.061999999998</v>
      </c>
      <c r="AE519" s="70">
        <f t="shared" si="503"/>
        <v>19336.680000000004</v>
      </c>
      <c r="AF519" s="70">
        <f t="shared" si="536"/>
        <v>20508.048000000003</v>
      </c>
      <c r="AG519" s="70">
        <f t="shared" si="536"/>
        <v>21051.715999999997</v>
      </c>
      <c r="AH519" s="70">
        <f t="shared" si="536"/>
        <v>25703.784000000003</v>
      </c>
      <c r="AI519" s="70">
        <f t="shared" si="536"/>
        <v>33191.160000000003</v>
      </c>
      <c r="AJ519" s="70">
        <f t="shared" si="536"/>
        <v>27822.312000000002</v>
      </c>
      <c r="AK519" s="70">
        <f t="shared" si="536"/>
        <v>30103.043999999998</v>
      </c>
      <c r="AL519" s="70">
        <f t="shared" si="536"/>
        <v>32602.973999999998</v>
      </c>
      <c r="AN519" s="111" t="s">
        <v>130</v>
      </c>
      <c r="AO519" s="113">
        <f t="shared" ref="AO519:AW519" si="538">H519/H516</f>
        <v>0.12608553078267326</v>
      </c>
      <c r="AP519" s="113">
        <f t="shared" si="538"/>
        <v>0.12684617804704165</v>
      </c>
      <c r="AQ519" s="113">
        <f t="shared" si="538"/>
        <v>0.13128605076556207</v>
      </c>
      <c r="AR519" s="113">
        <f t="shared" si="538"/>
        <v>0.12344595385592262</v>
      </c>
      <c r="AS519" s="113">
        <f t="shared" si="538"/>
        <v>0.12473506678099064</v>
      </c>
      <c r="AT519" s="113">
        <f t="shared" si="538"/>
        <v>0.14249254934689262</v>
      </c>
      <c r="AU519" s="113">
        <f t="shared" si="538"/>
        <v>0.13123979202476302</v>
      </c>
      <c r="AV519" s="113">
        <f t="shared" si="538"/>
        <v>0.13099098944486481</v>
      </c>
      <c r="AW519" s="113">
        <f t="shared" si="538"/>
        <v>0.14051726721673211</v>
      </c>
      <c r="AY519" s="111" t="s">
        <v>130</v>
      </c>
      <c r="AZ519" s="179">
        <f t="shared" si="533"/>
        <v>9.8346714010485135E-3</v>
      </c>
      <c r="BA519" s="179">
        <f t="shared" si="533"/>
        <v>1.1162463668139666E-2</v>
      </c>
      <c r="BB519" s="179">
        <f t="shared" si="533"/>
        <v>1.1553172467369463E-2</v>
      </c>
      <c r="BC519" s="179">
        <f t="shared" si="531"/>
        <v>1.135702775474488E-2</v>
      </c>
      <c r="BD519" s="179">
        <f t="shared" si="531"/>
        <v>1.347138721234699E-2</v>
      </c>
      <c r="BE519" s="179">
        <f t="shared" si="531"/>
        <v>1.7099105921627115E-2</v>
      </c>
      <c r="BF519" s="179">
        <f t="shared" si="531"/>
        <v>1.4173897538674407E-2</v>
      </c>
      <c r="BG519" s="179">
        <f t="shared" si="531"/>
        <v>1.5194954775604317E-2</v>
      </c>
      <c r="BH519" s="179">
        <f t="shared" si="531"/>
        <v>1.6018968462707461E-2</v>
      </c>
    </row>
    <row r="520" spans="2:68" s="108" customFormat="1" x14ac:dyDescent="0.25">
      <c r="B520" s="107"/>
      <c r="E520" s="109" t="s">
        <v>4</v>
      </c>
      <c r="F520" s="110" t="s">
        <v>67</v>
      </c>
      <c r="G520" s="111" t="s">
        <v>131</v>
      </c>
      <c r="H520" s="112">
        <v>593817</v>
      </c>
      <c r="I520" s="112">
        <v>631236</v>
      </c>
      <c r="J520" s="112">
        <v>681602</v>
      </c>
      <c r="K520" s="112">
        <v>700409</v>
      </c>
      <c r="L520" s="112">
        <v>760643</v>
      </c>
      <c r="M520" s="112">
        <v>763322</v>
      </c>
      <c r="N520" s="112">
        <v>747911</v>
      </c>
      <c r="O520" s="112">
        <v>813655</v>
      </c>
      <c r="P520" s="112">
        <v>893371</v>
      </c>
      <c r="R520" s="111" t="s">
        <v>131</v>
      </c>
      <c r="S520" s="220">
        <v>1.8</v>
      </c>
      <c r="T520" s="220">
        <v>2.4</v>
      </c>
      <c r="U520" s="220">
        <v>2.5</v>
      </c>
      <c r="V520" s="220">
        <v>1.4</v>
      </c>
      <c r="W520" s="220">
        <v>2</v>
      </c>
      <c r="X520" s="220" t="s">
        <v>163</v>
      </c>
      <c r="Y520" s="220">
        <v>2.6</v>
      </c>
      <c r="Z520" s="220">
        <v>1.7</v>
      </c>
      <c r="AA520" s="220">
        <v>1.7</v>
      </c>
      <c r="AC520" s="111" t="s">
        <v>131</v>
      </c>
      <c r="AD520" s="112">
        <f t="shared" si="503"/>
        <v>21377.412</v>
      </c>
      <c r="AE520" s="112">
        <f t="shared" si="503"/>
        <v>30299.327999999998</v>
      </c>
      <c r="AF520" s="112">
        <f t="shared" si="536"/>
        <v>34080.1</v>
      </c>
      <c r="AG520" s="112">
        <f t="shared" si="536"/>
        <v>19611.452000000001</v>
      </c>
      <c r="AH520" s="112">
        <f t="shared" si="536"/>
        <v>30425.72</v>
      </c>
      <c r="AI520" s="112" t="e">
        <f t="shared" si="536"/>
        <v>#VALUE!</v>
      </c>
      <c r="AJ520" s="112">
        <f t="shared" si="536"/>
        <v>38891.372000000003</v>
      </c>
      <c r="AK520" s="112">
        <f t="shared" si="536"/>
        <v>27664.27</v>
      </c>
      <c r="AL520" s="112">
        <f t="shared" si="536"/>
        <v>30374.613999999998</v>
      </c>
      <c r="AN520" s="111" t="s">
        <v>131</v>
      </c>
      <c r="AO520" s="113">
        <f t="shared" ref="AO520:AW520" si="539">H520/H516</f>
        <v>0.35212380076459315</v>
      </c>
      <c r="AP520" s="113">
        <f t="shared" si="539"/>
        <v>0.3643929007472746</v>
      </c>
      <c r="AQ520" s="113">
        <f t="shared" si="539"/>
        <v>0.38397927779884072</v>
      </c>
      <c r="AR520" s="113">
        <f t="shared" si="539"/>
        <v>0.37785824455702838</v>
      </c>
      <c r="AS520" s="113">
        <f t="shared" si="539"/>
        <v>0.39865400298108833</v>
      </c>
      <c r="AT520" s="113">
        <f t="shared" si="539"/>
        <v>0.39324096326576874</v>
      </c>
      <c r="AU520" s="113">
        <f t="shared" si="539"/>
        <v>0.38101843880003627</v>
      </c>
      <c r="AV520" s="113">
        <f t="shared" si="539"/>
        <v>0.41070434365190212</v>
      </c>
      <c r="AW520" s="113">
        <f t="shared" si="539"/>
        <v>0.4389440630323303</v>
      </c>
      <c r="AY520" s="111" t="s">
        <v>131</v>
      </c>
      <c r="AZ520" s="179">
        <f t="shared" si="533"/>
        <v>1.2676456827525353E-2</v>
      </c>
      <c r="BA520" s="179">
        <f t="shared" si="533"/>
        <v>1.7490859235869179E-2</v>
      </c>
      <c r="BB520" s="179">
        <f t="shared" si="533"/>
        <v>1.9198963889942036E-2</v>
      </c>
      <c r="BC520" s="179">
        <f t="shared" si="531"/>
        <v>1.0580030847596794E-2</v>
      </c>
      <c r="BD520" s="179">
        <f t="shared" si="531"/>
        <v>1.5946160119243533E-2</v>
      </c>
      <c r="BE520" s="179" t="e">
        <f t="shared" si="531"/>
        <v>#VALUE!</v>
      </c>
      <c r="BF520" s="179">
        <f t="shared" si="531"/>
        <v>1.9812958817601888E-2</v>
      </c>
      <c r="BG520" s="179">
        <f t="shared" si="531"/>
        <v>1.3963947684164672E-2</v>
      </c>
      <c r="BH520" s="179">
        <f t="shared" si="531"/>
        <v>1.4924098143099229E-2</v>
      </c>
    </row>
    <row r="521" spans="2:68" s="87" customFormat="1" x14ac:dyDescent="0.25">
      <c r="B521" s="84"/>
      <c r="C521" s="85"/>
      <c r="D521" s="85"/>
      <c r="E521" s="109" t="s">
        <v>5</v>
      </c>
      <c r="F521" s="110" t="s">
        <v>67</v>
      </c>
      <c r="G521" s="195" t="s">
        <v>7</v>
      </c>
      <c r="H521" s="69">
        <v>1735284</v>
      </c>
      <c r="I521" s="69">
        <v>1789677</v>
      </c>
      <c r="J521" s="69">
        <v>1826842</v>
      </c>
      <c r="K521" s="69">
        <v>1905628</v>
      </c>
      <c r="L521" s="69">
        <v>1958534</v>
      </c>
      <c r="M521" s="69">
        <v>1996279</v>
      </c>
      <c r="N521" s="69">
        <v>2015664</v>
      </c>
      <c r="O521" s="69">
        <v>2039559</v>
      </c>
      <c r="P521" s="69">
        <v>2094130</v>
      </c>
      <c r="R521" s="195" t="s">
        <v>7</v>
      </c>
      <c r="S521" s="226">
        <v>1.1000000000000001</v>
      </c>
      <c r="T521" s="226">
        <v>0.7</v>
      </c>
      <c r="U521" s="226">
        <v>0.7</v>
      </c>
      <c r="V521" s="226">
        <v>0.6</v>
      </c>
      <c r="W521" s="226">
        <v>0.6</v>
      </c>
      <c r="X521" s="226">
        <v>0.7</v>
      </c>
      <c r="Y521" s="226">
        <v>0.6</v>
      </c>
      <c r="Z521" s="226">
        <v>0.6</v>
      </c>
      <c r="AA521" s="226">
        <v>0.6</v>
      </c>
      <c r="AC521" s="195" t="s">
        <v>7</v>
      </c>
      <c r="AD521" s="69">
        <f t="shared" si="503"/>
        <v>38176.248</v>
      </c>
      <c r="AE521" s="69">
        <f t="shared" si="503"/>
        <v>25055.477999999999</v>
      </c>
      <c r="AF521" s="69">
        <f t="shared" si="536"/>
        <v>25575.787999999997</v>
      </c>
      <c r="AG521" s="69">
        <f t="shared" si="536"/>
        <v>22867.536</v>
      </c>
      <c r="AH521" s="69">
        <f t="shared" si="536"/>
        <v>23502.407999999999</v>
      </c>
      <c r="AI521" s="69">
        <f t="shared" si="536"/>
        <v>27947.905999999995</v>
      </c>
      <c r="AJ521" s="69">
        <f t="shared" si="536"/>
        <v>24187.967999999997</v>
      </c>
      <c r="AK521" s="69">
        <f t="shared" si="536"/>
        <v>24474.707999999999</v>
      </c>
      <c r="AL521" s="69">
        <f t="shared" si="536"/>
        <v>25129.56</v>
      </c>
      <c r="AN521" s="195" t="s">
        <v>7</v>
      </c>
      <c r="AO521" s="98">
        <f t="shared" ref="AO521:AW521" si="540">H521/H521</f>
        <v>1</v>
      </c>
      <c r="AP521" s="98">
        <f t="shared" si="540"/>
        <v>1</v>
      </c>
      <c r="AQ521" s="98">
        <f t="shared" si="540"/>
        <v>1</v>
      </c>
      <c r="AR521" s="98">
        <f t="shared" si="540"/>
        <v>1</v>
      </c>
      <c r="AS521" s="98">
        <f t="shared" si="540"/>
        <v>1</v>
      </c>
      <c r="AT521" s="98">
        <f t="shared" si="540"/>
        <v>1</v>
      </c>
      <c r="AU521" s="98">
        <f t="shared" si="540"/>
        <v>1</v>
      </c>
      <c r="AV521" s="98">
        <f t="shared" si="540"/>
        <v>1</v>
      </c>
      <c r="AW521" s="98">
        <f t="shared" si="540"/>
        <v>1</v>
      </c>
      <c r="AX521" s="191"/>
      <c r="AY521" s="195" t="s">
        <v>7</v>
      </c>
      <c r="AZ521" s="178">
        <f t="shared" si="533"/>
        <v>2.2000000000000002E-2</v>
      </c>
      <c r="BA521" s="178">
        <f t="shared" si="533"/>
        <v>1.3999999999999999E-2</v>
      </c>
      <c r="BB521" s="178">
        <f t="shared" si="533"/>
        <v>1.3999999999999999E-2</v>
      </c>
      <c r="BC521" s="178">
        <f t="shared" si="531"/>
        <v>1.2E-2</v>
      </c>
      <c r="BD521" s="178">
        <f t="shared" si="531"/>
        <v>1.2E-2</v>
      </c>
      <c r="BE521" s="178">
        <f t="shared" si="531"/>
        <v>1.3999999999999999E-2</v>
      </c>
      <c r="BF521" s="178">
        <f t="shared" si="531"/>
        <v>1.2E-2</v>
      </c>
      <c r="BG521" s="178">
        <f t="shared" si="531"/>
        <v>1.2E-2</v>
      </c>
      <c r="BH521" s="178">
        <f t="shared" si="531"/>
        <v>1.2E-2</v>
      </c>
      <c r="BI521" s="191"/>
      <c r="BJ521" s="191"/>
      <c r="BK521" s="191"/>
      <c r="BL521" s="191"/>
      <c r="BM521" s="191"/>
      <c r="BN521" s="191"/>
      <c r="BO521" s="191"/>
      <c r="BP521" s="191"/>
    </row>
    <row r="522" spans="2:68" s="108" customFormat="1" x14ac:dyDescent="0.25">
      <c r="B522" s="107"/>
      <c r="E522" s="109" t="s">
        <v>5</v>
      </c>
      <c r="F522" s="110" t="s">
        <v>67</v>
      </c>
      <c r="G522" s="111" t="s">
        <v>54</v>
      </c>
      <c r="H522" s="112">
        <v>327180</v>
      </c>
      <c r="I522" s="112">
        <v>289256</v>
      </c>
      <c r="J522" s="112">
        <v>291932</v>
      </c>
      <c r="K522" s="112">
        <v>297705</v>
      </c>
      <c r="L522" s="112">
        <v>279462</v>
      </c>
      <c r="M522" s="112">
        <v>279508</v>
      </c>
      <c r="N522" s="112">
        <v>243576</v>
      </c>
      <c r="O522" s="112">
        <v>228657</v>
      </c>
      <c r="P522" s="112">
        <v>205534</v>
      </c>
      <c r="R522" s="111" t="s">
        <v>54</v>
      </c>
      <c r="S522" s="220">
        <v>3.2</v>
      </c>
      <c r="T522" s="220">
        <v>4</v>
      </c>
      <c r="U522" s="220">
        <v>3.5</v>
      </c>
      <c r="V522" s="220">
        <v>4.2</v>
      </c>
      <c r="W522" s="220">
        <v>4.8</v>
      </c>
      <c r="X522" s="220">
        <v>5.4</v>
      </c>
      <c r="Y522" s="220">
        <v>6</v>
      </c>
      <c r="Z522" s="220">
        <v>5.8</v>
      </c>
      <c r="AA522" s="220">
        <v>5.7</v>
      </c>
      <c r="AC522" s="111" t="s">
        <v>54</v>
      </c>
      <c r="AD522" s="112">
        <f t="shared" si="503"/>
        <v>20939.52</v>
      </c>
      <c r="AE522" s="112">
        <f t="shared" si="503"/>
        <v>23140.48</v>
      </c>
      <c r="AF522" s="112">
        <f t="shared" si="536"/>
        <v>20435.240000000002</v>
      </c>
      <c r="AG522" s="112">
        <f t="shared" si="536"/>
        <v>25007.22</v>
      </c>
      <c r="AH522" s="112">
        <f t="shared" si="536"/>
        <v>26828.351999999999</v>
      </c>
      <c r="AI522" s="112">
        <f t="shared" si="536"/>
        <v>30186.864000000005</v>
      </c>
      <c r="AJ522" s="112">
        <f t="shared" si="536"/>
        <v>29229.119999999999</v>
      </c>
      <c r="AK522" s="112">
        <f t="shared" si="536"/>
        <v>26524.211999999996</v>
      </c>
      <c r="AL522" s="112">
        <f t="shared" si="536"/>
        <v>23430.876</v>
      </c>
      <c r="AN522" s="111" t="s">
        <v>54</v>
      </c>
      <c r="AO522" s="113">
        <f t="shared" ref="AO522:AW522" si="541">H522/H521</f>
        <v>0.18854550609583215</v>
      </c>
      <c r="AP522" s="113">
        <f t="shared" si="541"/>
        <v>0.1616246954059308</v>
      </c>
      <c r="AQ522" s="113">
        <f t="shared" si="541"/>
        <v>0.15980144971486313</v>
      </c>
      <c r="AR522" s="113">
        <f t="shared" si="541"/>
        <v>0.15622408990631959</v>
      </c>
      <c r="AS522" s="113">
        <f t="shared" si="541"/>
        <v>0.14268937889257985</v>
      </c>
      <c r="AT522" s="113">
        <f t="shared" si="541"/>
        <v>0.14001449697161569</v>
      </c>
      <c r="AU522" s="113">
        <f t="shared" si="541"/>
        <v>0.12084156883290072</v>
      </c>
      <c r="AV522" s="113">
        <f t="shared" si="541"/>
        <v>0.11211100046627727</v>
      </c>
      <c r="AW522" s="113">
        <f t="shared" si="541"/>
        <v>9.8147679465935736E-2</v>
      </c>
      <c r="AY522" s="111" t="s">
        <v>54</v>
      </c>
      <c r="AZ522" s="179">
        <f t="shared" si="533"/>
        <v>1.2066912390133258E-2</v>
      </c>
      <c r="BA522" s="179">
        <f t="shared" si="533"/>
        <v>1.2929975632474465E-2</v>
      </c>
      <c r="BB522" s="179">
        <f t="shared" si="533"/>
        <v>1.1186101480040418E-2</v>
      </c>
      <c r="BC522" s="179">
        <f t="shared" si="531"/>
        <v>1.3122823552130847E-2</v>
      </c>
      <c r="BD522" s="179">
        <f t="shared" si="531"/>
        <v>1.3698180373687665E-2</v>
      </c>
      <c r="BE522" s="179">
        <f t="shared" si="531"/>
        <v>1.5121565672934496E-2</v>
      </c>
      <c r="BF522" s="179">
        <f t="shared" si="531"/>
        <v>1.4500988259948087E-2</v>
      </c>
      <c r="BG522" s="179">
        <f t="shared" si="531"/>
        <v>1.3004876054088163E-2</v>
      </c>
      <c r="BH522" s="179">
        <f t="shared" si="531"/>
        <v>1.1188835459116675E-2</v>
      </c>
    </row>
    <row r="523" spans="2:68" s="108" customFormat="1" x14ac:dyDescent="0.25">
      <c r="B523" s="107"/>
      <c r="E523" s="109" t="s">
        <v>5</v>
      </c>
      <c r="F523" s="110" t="s">
        <v>67</v>
      </c>
      <c r="G523" s="111" t="s">
        <v>55</v>
      </c>
      <c r="H523" s="70">
        <v>418397</v>
      </c>
      <c r="I523" s="70">
        <v>433722</v>
      </c>
      <c r="J523" s="70">
        <v>442165</v>
      </c>
      <c r="K523" s="70">
        <v>449203</v>
      </c>
      <c r="L523" s="70">
        <v>470083</v>
      </c>
      <c r="M523" s="70">
        <v>441791</v>
      </c>
      <c r="N523" s="70">
        <v>465921</v>
      </c>
      <c r="O523" s="112">
        <v>476333</v>
      </c>
      <c r="P523" s="112">
        <v>482853</v>
      </c>
      <c r="R523" s="111" t="s">
        <v>55</v>
      </c>
      <c r="S523" s="81">
        <v>2.7</v>
      </c>
      <c r="T523" s="81">
        <v>2.9</v>
      </c>
      <c r="U523" s="81">
        <v>3</v>
      </c>
      <c r="V523" s="81">
        <v>3</v>
      </c>
      <c r="W523" s="81">
        <v>3.5</v>
      </c>
      <c r="X523" s="81">
        <v>4.0999999999999996</v>
      </c>
      <c r="Y523" s="81">
        <v>4</v>
      </c>
      <c r="Z523" s="81">
        <v>3.7</v>
      </c>
      <c r="AA523" s="81">
        <v>3.6</v>
      </c>
      <c r="AC523" s="111" t="s">
        <v>55</v>
      </c>
      <c r="AD523" s="70">
        <f t="shared" si="503"/>
        <v>22593.438000000002</v>
      </c>
      <c r="AE523" s="70">
        <f t="shared" si="503"/>
        <v>25155.876</v>
      </c>
      <c r="AF523" s="70">
        <f t="shared" si="536"/>
        <v>26529.9</v>
      </c>
      <c r="AG523" s="70">
        <f t="shared" si="536"/>
        <v>26952.18</v>
      </c>
      <c r="AH523" s="70">
        <f t="shared" si="536"/>
        <v>32905.81</v>
      </c>
      <c r="AI523" s="70">
        <f t="shared" si="536"/>
        <v>36226.861999999994</v>
      </c>
      <c r="AJ523" s="70">
        <f t="shared" si="536"/>
        <v>37273.68</v>
      </c>
      <c r="AK523" s="70">
        <f t="shared" si="536"/>
        <v>35248.642</v>
      </c>
      <c r="AL523" s="70">
        <f t="shared" si="536"/>
        <v>34765.415999999997</v>
      </c>
      <c r="AN523" s="111" t="s">
        <v>55</v>
      </c>
      <c r="AO523" s="113">
        <f t="shared" ref="AO523:AW523" si="542">H523/H521</f>
        <v>0.24111154139610577</v>
      </c>
      <c r="AP523" s="113">
        <f t="shared" si="542"/>
        <v>0.24234652398170173</v>
      </c>
      <c r="AQ523" s="113">
        <f t="shared" si="542"/>
        <v>0.24203789928193023</v>
      </c>
      <c r="AR523" s="113">
        <f t="shared" si="542"/>
        <v>0.23572439111935803</v>
      </c>
      <c r="AS523" s="113">
        <f t="shared" si="542"/>
        <v>0.240017788815512</v>
      </c>
      <c r="AT523" s="113">
        <f t="shared" si="542"/>
        <v>0.22130724212397165</v>
      </c>
      <c r="AU523" s="113">
        <f t="shared" si="542"/>
        <v>0.23115013216488461</v>
      </c>
      <c r="AV523" s="113">
        <f t="shared" si="542"/>
        <v>0.23354705600573458</v>
      </c>
      <c r="AW523" s="113">
        <f t="shared" si="542"/>
        <v>0.23057451065597648</v>
      </c>
      <c r="AY523" s="111" t="s">
        <v>55</v>
      </c>
      <c r="AZ523" s="179">
        <f t="shared" si="533"/>
        <v>1.3020023235389713E-2</v>
      </c>
      <c r="BA523" s="179">
        <f t="shared" si="533"/>
        <v>1.4056098390938701E-2</v>
      </c>
      <c r="BB523" s="179">
        <f t="shared" si="533"/>
        <v>1.4522273956915814E-2</v>
      </c>
      <c r="BC523" s="179">
        <f t="shared" si="531"/>
        <v>1.4143463467161482E-2</v>
      </c>
      <c r="BD523" s="179">
        <f t="shared" si="531"/>
        <v>1.6801245217085842E-2</v>
      </c>
      <c r="BE523" s="179">
        <f t="shared" si="531"/>
        <v>1.8147193854165675E-2</v>
      </c>
      <c r="BF523" s="179">
        <f t="shared" si="531"/>
        <v>1.8492010573190769E-2</v>
      </c>
      <c r="BG523" s="179">
        <f t="shared" si="531"/>
        <v>1.728248214442436E-2</v>
      </c>
      <c r="BH523" s="179">
        <f t="shared" si="531"/>
        <v>1.6601364767230307E-2</v>
      </c>
    </row>
    <row r="524" spans="2:68" s="108" customFormat="1" x14ac:dyDescent="0.25">
      <c r="B524" s="107"/>
      <c r="E524" s="109" t="s">
        <v>5</v>
      </c>
      <c r="F524" s="110" t="s">
        <v>67</v>
      </c>
      <c r="G524" s="111" t="s">
        <v>130</v>
      </c>
      <c r="H524" s="70">
        <v>202295</v>
      </c>
      <c r="I524" s="70">
        <v>231791</v>
      </c>
      <c r="J524" s="70">
        <v>215994</v>
      </c>
      <c r="K524" s="70">
        <v>215598</v>
      </c>
      <c r="L524" s="70">
        <v>206487</v>
      </c>
      <c r="M524" s="70">
        <v>248153</v>
      </c>
      <c r="N524" s="70">
        <v>229436</v>
      </c>
      <c r="O524" s="112">
        <v>228092</v>
      </c>
      <c r="P524" s="112">
        <v>245792</v>
      </c>
      <c r="R524" s="111" t="s">
        <v>130</v>
      </c>
      <c r="S524" s="220">
        <v>3.9</v>
      </c>
      <c r="T524" s="220">
        <v>4.4000000000000004</v>
      </c>
      <c r="U524" s="220">
        <v>4.4000000000000004</v>
      </c>
      <c r="V524" s="220">
        <v>4.5999999999999996</v>
      </c>
      <c r="W524" s="220">
        <v>5.4</v>
      </c>
      <c r="X524" s="220">
        <v>6</v>
      </c>
      <c r="Y524" s="220">
        <v>6.2</v>
      </c>
      <c r="Z524" s="220">
        <v>5.8</v>
      </c>
      <c r="AA524" s="220">
        <v>5.7</v>
      </c>
      <c r="AC524" s="111" t="s">
        <v>130</v>
      </c>
      <c r="AD524" s="70">
        <f t="shared" si="503"/>
        <v>15779.01</v>
      </c>
      <c r="AE524" s="70">
        <f t="shared" si="503"/>
        <v>20397.608000000004</v>
      </c>
      <c r="AF524" s="70">
        <f t="shared" si="536"/>
        <v>19007.472000000002</v>
      </c>
      <c r="AG524" s="70">
        <f t="shared" si="536"/>
        <v>19835.016</v>
      </c>
      <c r="AH524" s="70">
        <f t="shared" si="536"/>
        <v>22300.596000000001</v>
      </c>
      <c r="AI524" s="70">
        <f t="shared" si="536"/>
        <v>29778.36</v>
      </c>
      <c r="AJ524" s="70">
        <f t="shared" si="536"/>
        <v>28450.063999999998</v>
      </c>
      <c r="AK524" s="70">
        <f t="shared" si="536"/>
        <v>26458.671999999999</v>
      </c>
      <c r="AL524" s="70">
        <f t="shared" si="536"/>
        <v>28020.288000000004</v>
      </c>
      <c r="AN524" s="111" t="s">
        <v>130</v>
      </c>
      <c r="AO524" s="113">
        <f t="shared" ref="AO524:AW524" si="543">H524/H521</f>
        <v>0.11657745936688173</v>
      </c>
      <c r="AP524" s="113">
        <f t="shared" si="543"/>
        <v>0.12951554945389587</v>
      </c>
      <c r="AQ524" s="113">
        <f t="shared" si="543"/>
        <v>0.11823354181697159</v>
      </c>
      <c r="AR524" s="113">
        <f t="shared" si="543"/>
        <v>0.1131375063758509</v>
      </c>
      <c r="AS524" s="113">
        <f t="shared" si="543"/>
        <v>0.10542936706740859</v>
      </c>
      <c r="AT524" s="113">
        <f t="shared" si="543"/>
        <v>0.12430777461467059</v>
      </c>
      <c r="AU524" s="113">
        <f t="shared" si="543"/>
        <v>0.11382651076766763</v>
      </c>
      <c r="AV524" s="113">
        <f t="shared" si="543"/>
        <v>0.1118339797966129</v>
      </c>
      <c r="AW524" s="113">
        <f t="shared" si="543"/>
        <v>0.11737189190737919</v>
      </c>
      <c r="AY524" s="111" t="s">
        <v>130</v>
      </c>
      <c r="AZ524" s="179">
        <f t="shared" si="533"/>
        <v>9.0930418306167746E-3</v>
      </c>
      <c r="BA524" s="179">
        <f t="shared" si="533"/>
        <v>1.1397368351942837E-2</v>
      </c>
      <c r="BB524" s="179">
        <f t="shared" si="533"/>
        <v>1.0404551679893501E-2</v>
      </c>
      <c r="BC524" s="179">
        <f t="shared" si="531"/>
        <v>1.0408650586578283E-2</v>
      </c>
      <c r="BD524" s="179">
        <f t="shared" si="531"/>
        <v>1.1386371643280128E-2</v>
      </c>
      <c r="BE524" s="179">
        <f t="shared" si="531"/>
        <v>1.4916932953760471E-2</v>
      </c>
      <c r="BF524" s="179">
        <f t="shared" si="531"/>
        <v>1.4114487335190787E-2</v>
      </c>
      <c r="BG524" s="179">
        <f t="shared" si="531"/>
        <v>1.2972741656407097E-2</v>
      </c>
      <c r="BH524" s="179">
        <f t="shared" si="531"/>
        <v>1.3380395677441228E-2</v>
      </c>
    </row>
    <row r="525" spans="2:68" s="108" customFormat="1" x14ac:dyDescent="0.25">
      <c r="B525" s="107"/>
      <c r="E525" s="109" t="s">
        <v>5</v>
      </c>
      <c r="F525" s="110" t="s">
        <v>67</v>
      </c>
      <c r="G525" s="111" t="s">
        <v>131</v>
      </c>
      <c r="H525" s="112">
        <v>780700</v>
      </c>
      <c r="I525" s="112">
        <v>825956</v>
      </c>
      <c r="J525" s="112">
        <v>868591</v>
      </c>
      <c r="K525" s="112">
        <v>934826</v>
      </c>
      <c r="L525" s="112">
        <v>999793</v>
      </c>
      <c r="M525" s="112">
        <v>1022255</v>
      </c>
      <c r="N525" s="112">
        <v>1070204</v>
      </c>
      <c r="O525" s="112">
        <v>1106477</v>
      </c>
      <c r="P525" s="112">
        <v>1159951</v>
      </c>
      <c r="R525" s="111" t="s">
        <v>131</v>
      </c>
      <c r="S525" s="220">
        <v>1.8</v>
      </c>
      <c r="T525" s="220">
        <v>1.9</v>
      </c>
      <c r="U525" s="220">
        <v>1.9</v>
      </c>
      <c r="V525" s="220">
        <v>1.7</v>
      </c>
      <c r="W525" s="220">
        <v>2.1</v>
      </c>
      <c r="X525" s="220" t="s">
        <v>164</v>
      </c>
      <c r="Y525" s="220">
        <v>1.9</v>
      </c>
      <c r="Z525" s="220">
        <v>1.7</v>
      </c>
      <c r="AA525" s="220">
        <v>1.7</v>
      </c>
      <c r="AC525" s="111" t="s">
        <v>131</v>
      </c>
      <c r="AD525" s="112">
        <f t="shared" si="503"/>
        <v>28105.200000000001</v>
      </c>
      <c r="AE525" s="112">
        <f t="shared" si="503"/>
        <v>31386.327999999998</v>
      </c>
      <c r="AF525" s="112">
        <f t="shared" si="536"/>
        <v>33006.457999999999</v>
      </c>
      <c r="AG525" s="112">
        <f t="shared" si="536"/>
        <v>31784.083999999999</v>
      </c>
      <c r="AH525" s="112">
        <f t="shared" si="536"/>
        <v>41991.306000000004</v>
      </c>
      <c r="AI525" s="112" t="e">
        <f t="shared" si="536"/>
        <v>#VALUE!</v>
      </c>
      <c r="AJ525" s="112">
        <f t="shared" si="536"/>
        <v>40667.752</v>
      </c>
      <c r="AK525" s="112">
        <f t="shared" si="536"/>
        <v>37620.218000000001</v>
      </c>
      <c r="AL525" s="112">
        <f t="shared" si="536"/>
        <v>39438.334000000003</v>
      </c>
      <c r="AN525" s="111" t="s">
        <v>131</v>
      </c>
      <c r="AO525" s="113">
        <f t="shared" ref="AO525:AW525" si="544">H525/H521</f>
        <v>0.44989753838564756</v>
      </c>
      <c r="AP525" s="113">
        <f t="shared" si="544"/>
        <v>0.46151121124091105</v>
      </c>
      <c r="AQ525" s="113">
        <f t="shared" si="544"/>
        <v>0.47546038464191209</v>
      </c>
      <c r="AR525" s="113">
        <f t="shared" si="544"/>
        <v>0.49056059209877267</v>
      </c>
      <c r="AS525" s="113">
        <f t="shared" si="544"/>
        <v>0.51048028780710475</v>
      </c>
      <c r="AT525" s="113">
        <f t="shared" si="544"/>
        <v>0.51208022525909458</v>
      </c>
      <c r="AU525" s="113">
        <f t="shared" si="544"/>
        <v>0.53094364933838178</v>
      </c>
      <c r="AV525" s="113">
        <f t="shared" si="544"/>
        <v>0.54250796373137522</v>
      </c>
      <c r="AW525" s="113">
        <f t="shared" si="544"/>
        <v>0.55390591797070865</v>
      </c>
      <c r="AY525" s="111" t="s">
        <v>131</v>
      </c>
      <c r="AZ525" s="179">
        <f t="shared" si="533"/>
        <v>1.6196311381883311E-2</v>
      </c>
      <c r="BA525" s="179">
        <f t="shared" si="533"/>
        <v>1.7537426027154621E-2</v>
      </c>
      <c r="BB525" s="179">
        <f t="shared" si="533"/>
        <v>1.8067494616392659E-2</v>
      </c>
      <c r="BC525" s="179">
        <f t="shared" si="531"/>
        <v>1.6679060131358271E-2</v>
      </c>
      <c r="BD525" s="179">
        <f t="shared" si="531"/>
        <v>2.1440172087898401E-2</v>
      </c>
      <c r="BE525" s="179" t="e">
        <f t="shared" si="531"/>
        <v>#VALUE!</v>
      </c>
      <c r="BF525" s="179">
        <f t="shared" si="531"/>
        <v>2.0175858674858507E-2</v>
      </c>
      <c r="BG525" s="179">
        <f t="shared" si="531"/>
        <v>1.8445270766866757E-2</v>
      </c>
      <c r="BH525" s="179">
        <f t="shared" si="531"/>
        <v>1.8832801211004092E-2</v>
      </c>
    </row>
    <row r="526" spans="2:68" s="108" customFormat="1" x14ac:dyDescent="0.3">
      <c r="B526" s="11"/>
      <c r="C526" s="82"/>
      <c r="D526" s="82"/>
      <c r="E526" s="180"/>
      <c r="F526" s="107"/>
      <c r="G526" s="111"/>
      <c r="H526" s="122" t="s">
        <v>122</v>
      </c>
      <c r="I526" s="121">
        <v>2003</v>
      </c>
      <c r="J526" s="121">
        <v>2005</v>
      </c>
      <c r="K526" s="122" t="s">
        <v>123</v>
      </c>
      <c r="L526" s="122" t="s">
        <v>124</v>
      </c>
      <c r="M526" s="122" t="s">
        <v>125</v>
      </c>
      <c r="N526" s="122" t="s">
        <v>126</v>
      </c>
      <c r="O526" s="122" t="s">
        <v>127</v>
      </c>
      <c r="P526" s="122" t="s">
        <v>128</v>
      </c>
      <c r="Q526" s="83"/>
      <c r="R526" s="111"/>
      <c r="S526" s="120" t="s">
        <v>122</v>
      </c>
      <c r="T526" s="121">
        <v>2003</v>
      </c>
      <c r="U526" s="121">
        <v>2005</v>
      </c>
      <c r="V526" s="122" t="s">
        <v>123</v>
      </c>
      <c r="W526" s="122" t="s">
        <v>124</v>
      </c>
      <c r="X526" s="122" t="s">
        <v>125</v>
      </c>
      <c r="Y526" s="122" t="s">
        <v>126</v>
      </c>
      <c r="Z526" s="122" t="s">
        <v>127</v>
      </c>
      <c r="AA526" s="122" t="s">
        <v>128</v>
      </c>
      <c r="AB526" s="83"/>
      <c r="AC526" s="197" t="s">
        <v>8</v>
      </c>
      <c r="AD526" s="120" t="s">
        <v>122</v>
      </c>
      <c r="AE526" s="121">
        <v>2003</v>
      </c>
      <c r="AF526" s="121">
        <v>2005</v>
      </c>
      <c r="AG526" s="122" t="s">
        <v>123</v>
      </c>
      <c r="AH526" s="122" t="s">
        <v>124</v>
      </c>
      <c r="AI526" s="122" t="s">
        <v>125</v>
      </c>
      <c r="AJ526" s="122" t="s">
        <v>126</v>
      </c>
      <c r="AK526" s="122" t="s">
        <v>127</v>
      </c>
      <c r="AL526" s="122" t="s">
        <v>128</v>
      </c>
      <c r="AM526" s="83"/>
      <c r="AN526" s="197" t="s">
        <v>8</v>
      </c>
      <c r="AO526" s="120" t="s">
        <v>122</v>
      </c>
      <c r="AP526" s="121">
        <v>2003</v>
      </c>
      <c r="AQ526" s="121">
        <v>2005</v>
      </c>
      <c r="AR526" s="122" t="s">
        <v>123</v>
      </c>
      <c r="AS526" s="122" t="s">
        <v>124</v>
      </c>
      <c r="AT526" s="122" t="s">
        <v>125</v>
      </c>
      <c r="AU526" s="122" t="s">
        <v>126</v>
      </c>
      <c r="AV526" s="122" t="s">
        <v>127</v>
      </c>
      <c r="AW526" s="122" t="s">
        <v>128</v>
      </c>
      <c r="AY526" s="197" t="s">
        <v>8</v>
      </c>
      <c r="AZ526" s="120" t="s">
        <v>122</v>
      </c>
      <c r="BA526" s="121">
        <v>2003</v>
      </c>
      <c r="BB526" s="121">
        <v>2005</v>
      </c>
      <c r="BC526" s="122" t="s">
        <v>123</v>
      </c>
      <c r="BD526" s="122" t="s">
        <v>124</v>
      </c>
      <c r="BE526" s="122" t="s">
        <v>125</v>
      </c>
      <c r="BF526" s="122" t="s">
        <v>126</v>
      </c>
      <c r="BG526" s="122" t="s">
        <v>127</v>
      </c>
      <c r="BH526" s="122" t="s">
        <v>128</v>
      </c>
    </row>
    <row r="527" spans="2:68" s="108" customFormat="1" x14ac:dyDescent="0.25">
      <c r="B527" s="11"/>
      <c r="C527" s="85"/>
      <c r="D527" s="85"/>
      <c r="E527" s="207" t="s">
        <v>0</v>
      </c>
      <c r="F527" s="207" t="s">
        <v>132</v>
      </c>
      <c r="G527" s="195" t="s">
        <v>7</v>
      </c>
      <c r="H527" s="274">
        <v>3222816</v>
      </c>
      <c r="I527" s="274">
        <v>3295558</v>
      </c>
      <c r="J527" s="274">
        <v>3338259</v>
      </c>
      <c r="K527" s="274">
        <v>3364897</v>
      </c>
      <c r="L527" s="274">
        <v>3343475</v>
      </c>
      <c r="M527" s="274">
        <v>3236864</v>
      </c>
      <c r="N527" s="274">
        <v>3165884</v>
      </c>
      <c r="O527" s="69">
        <v>3133882</v>
      </c>
      <c r="P527" s="69">
        <v>3112693</v>
      </c>
      <c r="Q527" s="83"/>
      <c r="R527" s="195" t="s">
        <v>7</v>
      </c>
      <c r="S527" s="226">
        <v>0.4</v>
      </c>
      <c r="T527" s="226">
        <v>0.5</v>
      </c>
      <c r="U527" s="226">
        <v>0.4</v>
      </c>
      <c r="V527" s="226">
        <v>0.4</v>
      </c>
      <c r="W527" s="226">
        <v>0.4</v>
      </c>
      <c r="X527" s="226">
        <v>0.6</v>
      </c>
      <c r="Y527" s="226">
        <v>0.5</v>
      </c>
      <c r="Z527" s="226">
        <v>0.5</v>
      </c>
      <c r="AA527" s="226">
        <v>0.5</v>
      </c>
      <c r="AB527" s="83"/>
      <c r="AC527" s="195" t="s">
        <v>7</v>
      </c>
      <c r="AD527" s="69">
        <f t="shared" ref="AD527:AK542" si="545">2*(H527*S527/100)</f>
        <v>25782.528000000002</v>
      </c>
      <c r="AE527" s="69">
        <f t="shared" si="545"/>
        <v>32955.58</v>
      </c>
      <c r="AF527" s="69">
        <f t="shared" si="545"/>
        <v>26706.072</v>
      </c>
      <c r="AG527" s="69">
        <f t="shared" si="545"/>
        <v>26919.175999999999</v>
      </c>
      <c r="AH527" s="69">
        <f t="shared" si="545"/>
        <v>26747.8</v>
      </c>
      <c r="AI527" s="69">
        <f t="shared" si="545"/>
        <v>38842.367999999995</v>
      </c>
      <c r="AJ527" s="69">
        <f t="shared" si="545"/>
        <v>31658.84</v>
      </c>
      <c r="AK527" s="69">
        <f t="shared" ref="AK527:AK531" si="546">2*(P527*Z527/100)</f>
        <v>31126.93</v>
      </c>
      <c r="AL527" s="69">
        <f t="shared" si="536"/>
        <v>31126.93</v>
      </c>
      <c r="AM527" s="83"/>
      <c r="AN527" s="195" t="s">
        <v>7</v>
      </c>
      <c r="AO527" s="98">
        <f t="shared" ref="AO527:AW527" si="547">H527/H527</f>
        <v>1</v>
      </c>
      <c r="AP527" s="98">
        <f t="shared" si="547"/>
        <v>1</v>
      </c>
      <c r="AQ527" s="98">
        <f t="shared" si="547"/>
        <v>1</v>
      </c>
      <c r="AR527" s="98">
        <f t="shared" si="547"/>
        <v>1</v>
      </c>
      <c r="AS527" s="98">
        <f t="shared" si="547"/>
        <v>1</v>
      </c>
      <c r="AT527" s="98">
        <f t="shared" si="547"/>
        <v>1</v>
      </c>
      <c r="AU527" s="98">
        <f t="shared" si="547"/>
        <v>1</v>
      </c>
      <c r="AV527" s="98">
        <f t="shared" si="547"/>
        <v>1</v>
      </c>
      <c r="AW527" s="98">
        <f t="shared" si="547"/>
        <v>1</v>
      </c>
      <c r="AY527" s="195" t="s">
        <v>7</v>
      </c>
      <c r="AZ527" s="178">
        <f t="shared" ref="AZ527:BH555" si="548">2*(S527*AO527/100)</f>
        <v>8.0000000000000002E-3</v>
      </c>
      <c r="BA527" s="178">
        <f t="shared" si="548"/>
        <v>0.01</v>
      </c>
      <c r="BB527" s="178">
        <f t="shared" si="548"/>
        <v>8.0000000000000002E-3</v>
      </c>
      <c r="BC527" s="178">
        <f t="shared" si="548"/>
        <v>8.0000000000000002E-3</v>
      </c>
      <c r="BD527" s="178">
        <f t="shared" si="548"/>
        <v>8.0000000000000002E-3</v>
      </c>
      <c r="BE527" s="178">
        <f t="shared" si="548"/>
        <v>1.2E-2</v>
      </c>
      <c r="BF527" s="178">
        <f t="shared" si="548"/>
        <v>0.01</v>
      </c>
      <c r="BG527" s="178">
        <f t="shared" si="548"/>
        <v>0.01</v>
      </c>
      <c r="BH527" s="178">
        <f t="shared" si="548"/>
        <v>0.01</v>
      </c>
    </row>
    <row r="528" spans="2:68" s="108" customFormat="1" x14ac:dyDescent="0.25">
      <c r="B528" s="11"/>
      <c r="E528" s="110" t="s">
        <v>0</v>
      </c>
      <c r="F528" s="110" t="s">
        <v>132</v>
      </c>
      <c r="G528" s="111" t="s">
        <v>54</v>
      </c>
      <c r="H528" s="112">
        <v>606114</v>
      </c>
      <c r="I528" s="112">
        <v>489015</v>
      </c>
      <c r="J528" s="112">
        <v>404941</v>
      </c>
      <c r="K528" s="112">
        <v>394146</v>
      </c>
      <c r="L528" s="112">
        <v>373356</v>
      </c>
      <c r="M528" s="112">
        <v>301951</v>
      </c>
      <c r="N528" s="112">
        <v>262762</v>
      </c>
      <c r="O528" s="112">
        <v>224069</v>
      </c>
      <c r="P528" s="112">
        <v>201459</v>
      </c>
      <c r="Q528" s="83"/>
      <c r="R528" s="111" t="s">
        <v>54</v>
      </c>
      <c r="S528" s="220">
        <v>2.5</v>
      </c>
      <c r="T528" s="220">
        <v>3.1</v>
      </c>
      <c r="U528" s="220">
        <v>3.1</v>
      </c>
      <c r="V528" s="220">
        <v>3.6</v>
      </c>
      <c r="W528" s="220">
        <v>3.8</v>
      </c>
      <c r="X528" s="220">
        <v>3.6</v>
      </c>
      <c r="Y528" s="220">
        <v>4.7</v>
      </c>
      <c r="Z528" s="220">
        <v>6.2</v>
      </c>
      <c r="AA528" s="220">
        <v>6.3</v>
      </c>
      <c r="AB528" s="83"/>
      <c r="AC528" s="111" t="s">
        <v>54</v>
      </c>
      <c r="AD528" s="112">
        <f t="shared" si="545"/>
        <v>30305.7</v>
      </c>
      <c r="AE528" s="112">
        <f t="shared" si="545"/>
        <v>30318.93</v>
      </c>
      <c r="AF528" s="112">
        <f t="shared" si="545"/>
        <v>25106.342000000001</v>
      </c>
      <c r="AG528" s="112">
        <f t="shared" si="545"/>
        <v>28378.512000000002</v>
      </c>
      <c r="AH528" s="112">
        <f t="shared" si="545"/>
        <v>28375.056</v>
      </c>
      <c r="AI528" s="112">
        <f t="shared" si="545"/>
        <v>21740.472000000002</v>
      </c>
      <c r="AJ528" s="112">
        <f t="shared" si="545"/>
        <v>24699.628000000004</v>
      </c>
      <c r="AK528" s="112">
        <f t="shared" si="546"/>
        <v>24980.916000000001</v>
      </c>
      <c r="AL528" s="112">
        <f t="shared" si="536"/>
        <v>25383.833999999999</v>
      </c>
      <c r="AM528" s="83"/>
      <c r="AN528" s="111" t="s">
        <v>54</v>
      </c>
      <c r="AO528" s="113">
        <f t="shared" ref="AO528:AW528" si="549">H528/H527</f>
        <v>0.18806968812367816</v>
      </c>
      <c r="AP528" s="113">
        <f t="shared" si="549"/>
        <v>0.14838610032049201</v>
      </c>
      <c r="AQ528" s="113">
        <f t="shared" si="549"/>
        <v>0.1213030504823023</v>
      </c>
      <c r="AR528" s="113">
        <f t="shared" si="549"/>
        <v>0.11713464037680797</v>
      </c>
      <c r="AS528" s="113">
        <f t="shared" si="549"/>
        <v>0.11166705299127405</v>
      </c>
      <c r="AT528" s="113">
        <f t="shared" si="549"/>
        <v>9.3285043795476114E-2</v>
      </c>
      <c r="AU528" s="113">
        <f t="shared" si="549"/>
        <v>8.2997987292017017E-2</v>
      </c>
      <c r="AV528" s="113">
        <f t="shared" si="549"/>
        <v>7.1498863071423877E-2</v>
      </c>
      <c r="AW528" s="113">
        <f t="shared" si="549"/>
        <v>6.4721769862945047E-2</v>
      </c>
      <c r="AY528" s="111" t="s">
        <v>54</v>
      </c>
      <c r="AZ528" s="179">
        <f t="shared" si="548"/>
        <v>9.4034844061839078E-3</v>
      </c>
      <c r="BA528" s="179">
        <f t="shared" si="548"/>
        <v>9.199938219870505E-3</v>
      </c>
      <c r="BB528" s="179">
        <f t="shared" si="548"/>
        <v>7.520789129902743E-3</v>
      </c>
      <c r="BC528" s="179">
        <f t="shared" si="548"/>
        <v>8.4336941071301748E-3</v>
      </c>
      <c r="BD528" s="179">
        <f t="shared" si="548"/>
        <v>8.4866960273368274E-3</v>
      </c>
      <c r="BE528" s="179">
        <f t="shared" si="548"/>
        <v>6.7165231532742807E-3</v>
      </c>
      <c r="BF528" s="179">
        <f t="shared" si="548"/>
        <v>7.8018108054495995E-3</v>
      </c>
      <c r="BG528" s="179">
        <f t="shared" si="548"/>
        <v>8.8658590208565615E-3</v>
      </c>
      <c r="BH528" s="179">
        <f t="shared" si="548"/>
        <v>8.1549430027310753E-3</v>
      </c>
    </row>
    <row r="529" spans="2:60" s="108" customFormat="1" x14ac:dyDescent="0.25">
      <c r="B529" s="11"/>
      <c r="E529" s="110" t="s">
        <v>0</v>
      </c>
      <c r="F529" s="110" t="s">
        <v>132</v>
      </c>
      <c r="G529" s="111" t="s">
        <v>55</v>
      </c>
      <c r="H529" s="70">
        <v>104161</v>
      </c>
      <c r="I529" s="70">
        <v>86039</v>
      </c>
      <c r="J529" s="70">
        <v>77372</v>
      </c>
      <c r="K529" s="70">
        <v>74461</v>
      </c>
      <c r="L529" s="70">
        <v>59611</v>
      </c>
      <c r="M529" s="70">
        <v>51546</v>
      </c>
      <c r="N529" s="70">
        <v>44538</v>
      </c>
      <c r="O529" s="112">
        <v>27361</v>
      </c>
      <c r="P529" s="112">
        <v>16474</v>
      </c>
      <c r="Q529" s="83"/>
      <c r="R529" s="111" t="s">
        <v>55</v>
      </c>
      <c r="S529" s="81">
        <v>6.1</v>
      </c>
      <c r="T529" s="81">
        <v>7.1</v>
      </c>
      <c r="U529" s="81">
        <v>7.8</v>
      </c>
      <c r="V529" s="81">
        <v>8.1999999999999993</v>
      </c>
      <c r="W529" s="81">
        <v>10.199999999999999</v>
      </c>
      <c r="X529" s="81">
        <v>11</v>
      </c>
      <c r="Y529" s="81">
        <v>12.1</v>
      </c>
      <c r="Z529" s="81">
        <v>17.899999999999999</v>
      </c>
      <c r="AA529" s="81">
        <v>22.4</v>
      </c>
      <c r="AB529" s="83"/>
      <c r="AC529" s="111" t="s">
        <v>55</v>
      </c>
      <c r="AD529" s="70">
        <f t="shared" si="545"/>
        <v>12707.642</v>
      </c>
      <c r="AE529" s="70">
        <f t="shared" si="545"/>
        <v>12217.538</v>
      </c>
      <c r="AF529" s="70">
        <f t="shared" si="545"/>
        <v>12070.031999999999</v>
      </c>
      <c r="AG529" s="70">
        <f t="shared" si="545"/>
        <v>12211.603999999999</v>
      </c>
      <c r="AH529" s="70">
        <f t="shared" si="545"/>
        <v>12160.643999999998</v>
      </c>
      <c r="AI529" s="70">
        <f t="shared" si="545"/>
        <v>11340.12</v>
      </c>
      <c r="AJ529" s="70">
        <f t="shared" si="545"/>
        <v>10778.195999999998</v>
      </c>
      <c r="AK529" s="70">
        <f t="shared" si="546"/>
        <v>5897.6919999999991</v>
      </c>
      <c r="AL529" s="70">
        <f t="shared" si="536"/>
        <v>7380.3519999999999</v>
      </c>
      <c r="AM529" s="83"/>
      <c r="AN529" s="111" t="s">
        <v>55</v>
      </c>
      <c r="AO529" s="113">
        <f t="shared" ref="AO529:AW529" si="550">H529/H527</f>
        <v>3.2319871813966422E-2</v>
      </c>
      <c r="AP529" s="113">
        <f t="shared" si="550"/>
        <v>2.6107566609357202E-2</v>
      </c>
      <c r="AQ529" s="113">
        <f t="shared" si="550"/>
        <v>2.317735082868046E-2</v>
      </c>
      <c r="AR529" s="113">
        <f t="shared" si="550"/>
        <v>2.2128760553443389E-2</v>
      </c>
      <c r="AS529" s="113">
        <f t="shared" si="550"/>
        <v>1.782905509985868E-2</v>
      </c>
      <c r="AT529" s="113">
        <f t="shared" si="550"/>
        <v>1.5924672769693136E-2</v>
      </c>
      <c r="AU529" s="113">
        <f t="shared" si="550"/>
        <v>1.4068108623057572E-2</v>
      </c>
      <c r="AV529" s="113">
        <f t="shared" si="550"/>
        <v>8.7307052403377029E-3</v>
      </c>
      <c r="AW529" s="113">
        <f t="shared" si="550"/>
        <v>5.2925232266722091E-3</v>
      </c>
      <c r="AY529" s="111" t="s">
        <v>55</v>
      </c>
      <c r="AZ529" s="179">
        <f t="shared" si="548"/>
        <v>3.9430243613039033E-3</v>
      </c>
      <c r="BA529" s="179">
        <f t="shared" si="548"/>
        <v>3.7072744585287228E-3</v>
      </c>
      <c r="BB529" s="179">
        <f t="shared" si="548"/>
        <v>3.6156667292741519E-3</v>
      </c>
      <c r="BC529" s="179">
        <f t="shared" si="548"/>
        <v>3.6291167307647156E-3</v>
      </c>
      <c r="BD529" s="179">
        <f t="shared" si="548"/>
        <v>3.6371272403711709E-3</v>
      </c>
      <c r="BE529" s="179">
        <f t="shared" si="548"/>
        <v>3.5034280093324899E-3</v>
      </c>
      <c r="BF529" s="179">
        <f t="shared" si="548"/>
        <v>3.4044822867799322E-3</v>
      </c>
      <c r="BG529" s="179">
        <f t="shared" si="548"/>
        <v>3.1255924760408976E-3</v>
      </c>
      <c r="BH529" s="179">
        <f t="shared" si="548"/>
        <v>2.3710504055491498E-3</v>
      </c>
    </row>
    <row r="530" spans="2:60" s="108" customFormat="1" x14ac:dyDescent="0.25">
      <c r="B530" s="11"/>
      <c r="E530" s="110" t="s">
        <v>0</v>
      </c>
      <c r="F530" s="110" t="s">
        <v>132</v>
      </c>
      <c r="G530" s="111" t="s">
        <v>130</v>
      </c>
      <c r="H530" s="70">
        <v>371584</v>
      </c>
      <c r="I530" s="70">
        <v>381836</v>
      </c>
      <c r="J530" s="70">
        <v>318487</v>
      </c>
      <c r="K530" s="70">
        <v>272925</v>
      </c>
      <c r="L530" s="70">
        <v>259031</v>
      </c>
      <c r="M530" s="70">
        <v>219342</v>
      </c>
      <c r="N530" s="70">
        <v>215084</v>
      </c>
      <c r="O530" s="112">
        <v>165005</v>
      </c>
      <c r="P530" s="112">
        <v>157129</v>
      </c>
      <c r="Q530" s="83"/>
      <c r="R530" s="111" t="s">
        <v>130</v>
      </c>
      <c r="S530" s="220">
        <v>3.4</v>
      </c>
      <c r="T530" s="220">
        <v>3.3</v>
      </c>
      <c r="U530" s="220">
        <v>3.7</v>
      </c>
      <c r="V530" s="220">
        <v>4.9000000000000004</v>
      </c>
      <c r="W530" s="220">
        <v>4.5999999999999996</v>
      </c>
      <c r="X530" s="220">
        <v>5.3</v>
      </c>
      <c r="Y530" s="220">
        <v>5</v>
      </c>
      <c r="Z530" s="220">
        <v>7.2</v>
      </c>
      <c r="AA530" s="220">
        <v>7.3</v>
      </c>
      <c r="AB530" s="83"/>
      <c r="AC530" s="111" t="s">
        <v>130</v>
      </c>
      <c r="AD530" s="70">
        <f t="shared" si="545"/>
        <v>25267.711999999996</v>
      </c>
      <c r="AE530" s="70">
        <f t="shared" si="545"/>
        <v>25201.175999999999</v>
      </c>
      <c r="AF530" s="70">
        <f t="shared" si="545"/>
        <v>23568.038000000004</v>
      </c>
      <c r="AG530" s="70">
        <f t="shared" si="545"/>
        <v>26746.65</v>
      </c>
      <c r="AH530" s="70">
        <f t="shared" si="545"/>
        <v>23830.851999999999</v>
      </c>
      <c r="AI530" s="70">
        <f t="shared" si="545"/>
        <v>23250.251999999997</v>
      </c>
      <c r="AJ530" s="70">
        <f t="shared" si="545"/>
        <v>21508.400000000001</v>
      </c>
      <c r="AK530" s="70">
        <f t="shared" si="546"/>
        <v>22626.576000000001</v>
      </c>
      <c r="AL530" s="70">
        <f t="shared" si="536"/>
        <v>22940.833999999999</v>
      </c>
      <c r="AM530" s="83"/>
      <c r="AN530" s="111" t="s">
        <v>130</v>
      </c>
      <c r="AO530" s="113">
        <f t="shared" ref="AO530:AW530" si="551">H530/H527</f>
        <v>0.11529792578912355</v>
      </c>
      <c r="AP530" s="113">
        <f t="shared" si="551"/>
        <v>0.11586383853659987</v>
      </c>
      <c r="AQ530" s="113">
        <f t="shared" si="551"/>
        <v>9.5405119854391165E-2</v>
      </c>
      <c r="AR530" s="113">
        <f t="shared" si="551"/>
        <v>8.1109466352164719E-2</v>
      </c>
      <c r="AS530" s="113">
        <f t="shared" si="551"/>
        <v>7.7473586612730766E-2</v>
      </c>
      <c r="AT530" s="113">
        <f t="shared" si="551"/>
        <v>6.7763736752609938E-2</v>
      </c>
      <c r="AU530" s="113">
        <f t="shared" si="551"/>
        <v>6.7938054584438343E-2</v>
      </c>
      <c r="AV530" s="113">
        <f t="shared" si="551"/>
        <v>5.2651950520153597E-2</v>
      </c>
      <c r="AW530" s="113">
        <f t="shared" si="551"/>
        <v>5.0480082680816898E-2</v>
      </c>
      <c r="AY530" s="111" t="s">
        <v>130</v>
      </c>
      <c r="AZ530" s="179">
        <f t="shared" si="548"/>
        <v>7.8402589536604016E-3</v>
      </c>
      <c r="BA530" s="179">
        <f t="shared" si="548"/>
        <v>7.6470133434155905E-3</v>
      </c>
      <c r="BB530" s="179">
        <f t="shared" si="548"/>
        <v>7.059978869224947E-3</v>
      </c>
      <c r="BC530" s="179">
        <f t="shared" si="548"/>
        <v>7.9487277025121431E-3</v>
      </c>
      <c r="BD530" s="179">
        <f t="shared" si="548"/>
        <v>7.1275699683712298E-3</v>
      </c>
      <c r="BE530" s="179">
        <f t="shared" si="548"/>
        <v>7.1829560957766539E-3</v>
      </c>
      <c r="BF530" s="179">
        <f t="shared" si="548"/>
        <v>6.793805458443835E-3</v>
      </c>
      <c r="BG530" s="179">
        <f t="shared" si="548"/>
        <v>7.5818808749021187E-3</v>
      </c>
      <c r="BH530" s="179">
        <f t="shared" si="548"/>
        <v>7.3700920713992667E-3</v>
      </c>
    </row>
    <row r="531" spans="2:60" s="108" customFormat="1" x14ac:dyDescent="0.25">
      <c r="B531" s="11"/>
      <c r="E531" s="110" t="s">
        <v>0</v>
      </c>
      <c r="F531" s="110" t="s">
        <v>132</v>
      </c>
      <c r="G531" s="111" t="s">
        <v>131</v>
      </c>
      <c r="H531" s="112">
        <v>2141275</v>
      </c>
      <c r="I531" s="112">
        <v>2338536</v>
      </c>
      <c r="J531" s="112">
        <v>2537439</v>
      </c>
      <c r="K531" s="112">
        <v>2625486</v>
      </c>
      <c r="L531" s="112">
        <v>2651830</v>
      </c>
      <c r="M531" s="112">
        <v>2664186</v>
      </c>
      <c r="N531" s="112">
        <v>2644228</v>
      </c>
      <c r="O531" s="112">
        <v>2717447</v>
      </c>
      <c r="P531" s="112">
        <v>2737631</v>
      </c>
      <c r="Q531" s="83"/>
      <c r="R531" s="111" t="s">
        <v>131</v>
      </c>
      <c r="S531" s="220">
        <v>0.8</v>
      </c>
      <c r="T531" s="220">
        <v>0.8</v>
      </c>
      <c r="U531" s="220">
        <v>0.8</v>
      </c>
      <c r="V531" s="220">
        <v>0.9</v>
      </c>
      <c r="W531" s="220">
        <v>0.9</v>
      </c>
      <c r="X531" s="220">
        <v>1</v>
      </c>
      <c r="Y531" s="220">
        <v>0.9</v>
      </c>
      <c r="Z531" s="220">
        <v>0.7</v>
      </c>
      <c r="AA531" s="220">
        <v>0.5</v>
      </c>
      <c r="AB531" s="83"/>
      <c r="AC531" s="111" t="s">
        <v>131</v>
      </c>
      <c r="AD531" s="112">
        <f t="shared" si="545"/>
        <v>34260.400000000001</v>
      </c>
      <c r="AE531" s="112">
        <f t="shared" si="545"/>
        <v>37416.576000000001</v>
      </c>
      <c r="AF531" s="112">
        <f t="shared" si="545"/>
        <v>40599.024000000005</v>
      </c>
      <c r="AG531" s="112">
        <f t="shared" si="545"/>
        <v>47258.748</v>
      </c>
      <c r="AH531" s="112">
        <f t="shared" si="545"/>
        <v>47732.94</v>
      </c>
      <c r="AI531" s="112">
        <f t="shared" si="545"/>
        <v>53283.72</v>
      </c>
      <c r="AJ531" s="112">
        <f t="shared" si="545"/>
        <v>47596.104000000007</v>
      </c>
      <c r="AK531" s="112">
        <f t="shared" si="546"/>
        <v>38326.834000000003</v>
      </c>
      <c r="AL531" s="112">
        <f t="shared" si="536"/>
        <v>27376.31</v>
      </c>
      <c r="AM531" s="83"/>
      <c r="AN531" s="111" t="s">
        <v>131</v>
      </c>
      <c r="AO531" s="113">
        <f t="shared" ref="AO531:AW531" si="552">H531/H527</f>
        <v>0.66441118574563363</v>
      </c>
      <c r="AP531" s="113">
        <f t="shared" si="552"/>
        <v>0.70960244061855382</v>
      </c>
      <c r="AQ531" s="113">
        <f t="shared" si="552"/>
        <v>0.76010848768774386</v>
      </c>
      <c r="AR531" s="113">
        <f t="shared" si="552"/>
        <v>0.78025746404719076</v>
      </c>
      <c r="AS531" s="113">
        <f t="shared" si="552"/>
        <v>0.79313588407270874</v>
      </c>
      <c r="AT531" s="113">
        <f t="shared" si="552"/>
        <v>0.82307628618316986</v>
      </c>
      <c r="AU531" s="113">
        <f t="shared" si="552"/>
        <v>0.83522580107167543</v>
      </c>
      <c r="AV531" s="113">
        <f t="shared" si="552"/>
        <v>0.86711848116808488</v>
      </c>
      <c r="AW531" s="113">
        <f t="shared" si="552"/>
        <v>0.8795056242295658</v>
      </c>
      <c r="AY531" s="111" t="s">
        <v>131</v>
      </c>
      <c r="AZ531" s="179">
        <f t="shared" si="548"/>
        <v>1.0630578971930139E-2</v>
      </c>
      <c r="BA531" s="179">
        <f t="shared" si="548"/>
        <v>1.1353639049896861E-2</v>
      </c>
      <c r="BB531" s="179">
        <f t="shared" si="548"/>
        <v>1.2161735803003903E-2</v>
      </c>
      <c r="BC531" s="179">
        <f t="shared" si="548"/>
        <v>1.4044634352849434E-2</v>
      </c>
      <c r="BD531" s="179">
        <f t="shared" si="548"/>
        <v>1.4276445913308757E-2</v>
      </c>
      <c r="BE531" s="179">
        <f t="shared" si="548"/>
        <v>1.6461525723663398E-2</v>
      </c>
      <c r="BF531" s="179">
        <f t="shared" si="548"/>
        <v>1.5034064419290158E-2</v>
      </c>
      <c r="BG531" s="179">
        <f t="shared" si="548"/>
        <v>1.2139658736353188E-2</v>
      </c>
      <c r="BH531" s="179">
        <f t="shared" si="548"/>
        <v>8.7950562422956582E-3</v>
      </c>
    </row>
    <row r="532" spans="2:60" s="108" customFormat="1" x14ac:dyDescent="0.25">
      <c r="B532" s="11"/>
      <c r="C532" s="85"/>
      <c r="D532" s="85"/>
      <c r="E532" s="207" t="s">
        <v>1</v>
      </c>
      <c r="F532" s="207" t="s">
        <v>132</v>
      </c>
      <c r="G532" s="195" t="s">
        <v>7</v>
      </c>
      <c r="H532" s="274">
        <v>4129751</v>
      </c>
      <c r="I532" s="274">
        <v>4210618</v>
      </c>
      <c r="J532" s="274">
        <v>4324953</v>
      </c>
      <c r="K532" s="274">
        <v>4444298</v>
      </c>
      <c r="L532" s="274">
        <v>4571462</v>
      </c>
      <c r="M532" s="274">
        <v>4701334</v>
      </c>
      <c r="N532" s="274">
        <v>4775607</v>
      </c>
      <c r="O532" s="69">
        <v>4542313</v>
      </c>
      <c r="P532" s="69">
        <v>4659974</v>
      </c>
      <c r="Q532" s="83"/>
      <c r="R532" s="195" t="s">
        <v>7</v>
      </c>
      <c r="S532" s="226">
        <v>0.4</v>
      </c>
      <c r="T532" s="226">
        <v>0.5</v>
      </c>
      <c r="U532" s="226">
        <v>0.4</v>
      </c>
      <c r="V532" s="226">
        <v>0.4</v>
      </c>
      <c r="W532" s="226">
        <v>0.4</v>
      </c>
      <c r="X532" s="226">
        <v>0.6</v>
      </c>
      <c r="Y532" s="226">
        <v>0.5</v>
      </c>
      <c r="Z532" s="226">
        <v>0.4</v>
      </c>
      <c r="AA532" s="226">
        <v>0.5</v>
      </c>
      <c r="AB532" s="83"/>
      <c r="AC532" s="195" t="s">
        <v>7</v>
      </c>
      <c r="AD532" s="69">
        <f t="shared" si="545"/>
        <v>33038.008000000002</v>
      </c>
      <c r="AE532" s="69">
        <f t="shared" si="545"/>
        <v>42106.18</v>
      </c>
      <c r="AF532" s="69">
        <f t="shared" si="545"/>
        <v>34599.624000000003</v>
      </c>
      <c r="AG532" s="69">
        <f t="shared" si="545"/>
        <v>35554.384000000005</v>
      </c>
      <c r="AH532" s="69">
        <f t="shared" si="545"/>
        <v>36571.696000000004</v>
      </c>
      <c r="AI532" s="69">
        <f t="shared" si="545"/>
        <v>56416.008000000002</v>
      </c>
      <c r="AJ532" s="69">
        <f t="shared" si="545"/>
        <v>47756.07</v>
      </c>
      <c r="AK532" s="69">
        <f t="shared" si="545"/>
        <v>36338.504000000001</v>
      </c>
      <c r="AL532" s="69">
        <f t="shared" si="536"/>
        <v>46599.74</v>
      </c>
      <c r="AM532" s="83"/>
      <c r="AN532" s="195" t="s">
        <v>7</v>
      </c>
      <c r="AO532" s="98">
        <f t="shared" ref="AO532:AW532" si="553">H532/H532</f>
        <v>1</v>
      </c>
      <c r="AP532" s="98">
        <f t="shared" si="553"/>
        <v>1</v>
      </c>
      <c r="AQ532" s="98">
        <f t="shared" si="553"/>
        <v>1</v>
      </c>
      <c r="AR532" s="98">
        <f t="shared" si="553"/>
        <v>1</v>
      </c>
      <c r="AS532" s="98">
        <f t="shared" si="553"/>
        <v>1</v>
      </c>
      <c r="AT532" s="98">
        <f t="shared" si="553"/>
        <v>1</v>
      </c>
      <c r="AU532" s="98">
        <f t="shared" si="553"/>
        <v>1</v>
      </c>
      <c r="AV532" s="98">
        <f t="shared" si="553"/>
        <v>1</v>
      </c>
      <c r="AW532" s="98">
        <f t="shared" si="553"/>
        <v>1</v>
      </c>
      <c r="AY532" s="195" t="s">
        <v>7</v>
      </c>
      <c r="AZ532" s="178">
        <f t="shared" si="548"/>
        <v>8.0000000000000002E-3</v>
      </c>
      <c r="BA532" s="178">
        <f t="shared" si="548"/>
        <v>0.01</v>
      </c>
      <c r="BB532" s="178">
        <f t="shared" si="548"/>
        <v>8.0000000000000002E-3</v>
      </c>
      <c r="BC532" s="178">
        <f t="shared" si="548"/>
        <v>8.0000000000000002E-3</v>
      </c>
      <c r="BD532" s="178">
        <f t="shared" si="548"/>
        <v>8.0000000000000002E-3</v>
      </c>
      <c r="BE532" s="178">
        <f t="shared" si="548"/>
        <v>1.2E-2</v>
      </c>
      <c r="BF532" s="178">
        <f t="shared" si="548"/>
        <v>0.01</v>
      </c>
      <c r="BG532" s="178">
        <f t="shared" si="548"/>
        <v>8.0000000000000002E-3</v>
      </c>
      <c r="BH532" s="178">
        <f t="shared" si="548"/>
        <v>0.01</v>
      </c>
    </row>
    <row r="533" spans="2:60" s="108" customFormat="1" x14ac:dyDescent="0.25">
      <c r="B533" s="11"/>
      <c r="E533" s="110" t="s">
        <v>1</v>
      </c>
      <c r="F533" s="110" t="s">
        <v>132</v>
      </c>
      <c r="G533" s="111" t="s">
        <v>54</v>
      </c>
      <c r="H533" s="112">
        <v>1410084</v>
      </c>
      <c r="I533" s="112">
        <v>1347125</v>
      </c>
      <c r="J533" s="112">
        <v>1316738</v>
      </c>
      <c r="K533" s="112">
        <v>1354072</v>
      </c>
      <c r="L533" s="112">
        <v>1260866</v>
      </c>
      <c r="M533" s="112">
        <v>1287348</v>
      </c>
      <c r="N533" s="112">
        <v>1220442</v>
      </c>
      <c r="O533" s="112">
        <v>1001598</v>
      </c>
      <c r="P533" s="112">
        <v>946848</v>
      </c>
      <c r="Q533" s="83"/>
      <c r="R533" s="111" t="s">
        <v>54</v>
      </c>
      <c r="S533" s="220">
        <v>2</v>
      </c>
      <c r="T533" s="220">
        <v>2.2999999999999998</v>
      </c>
      <c r="U533" s="220">
        <v>1.6</v>
      </c>
      <c r="V533" s="220">
        <v>2.2000000000000002</v>
      </c>
      <c r="W533" s="220">
        <v>0.7</v>
      </c>
      <c r="X533" s="220">
        <v>2.6</v>
      </c>
      <c r="Y533" s="220">
        <v>2.1</v>
      </c>
      <c r="Z533" s="220">
        <v>2.5</v>
      </c>
      <c r="AA533" s="220">
        <v>2.9</v>
      </c>
      <c r="AB533" s="83"/>
      <c r="AC533" s="111" t="s">
        <v>54</v>
      </c>
      <c r="AD533" s="112">
        <f t="shared" si="545"/>
        <v>56403.360000000001</v>
      </c>
      <c r="AE533" s="112">
        <f t="shared" si="545"/>
        <v>61967.749999999993</v>
      </c>
      <c r="AF533" s="112">
        <f t="shared" si="545"/>
        <v>42135.616000000009</v>
      </c>
      <c r="AG533" s="112">
        <f t="shared" si="545"/>
        <v>59579.168000000005</v>
      </c>
      <c r="AH533" s="112">
        <f t="shared" si="545"/>
        <v>17652.124</v>
      </c>
      <c r="AI533" s="112">
        <f t="shared" si="545"/>
        <v>66942.096000000005</v>
      </c>
      <c r="AJ533" s="112">
        <f t="shared" si="545"/>
        <v>51258.564000000006</v>
      </c>
      <c r="AK533" s="112">
        <f t="shared" si="545"/>
        <v>50079.9</v>
      </c>
      <c r="AL533" s="112">
        <f t="shared" si="536"/>
        <v>54917.183999999994</v>
      </c>
      <c r="AM533" s="83"/>
      <c r="AN533" s="111" t="s">
        <v>54</v>
      </c>
      <c r="AO533" s="113">
        <f t="shared" ref="AO533:AW533" si="554">H533/H532</f>
        <v>0.34144528326284079</v>
      </c>
      <c r="AP533" s="113">
        <f t="shared" si="554"/>
        <v>0.3199352209105647</v>
      </c>
      <c r="AQ533" s="113">
        <f t="shared" si="554"/>
        <v>0.30445140097476203</v>
      </c>
      <c r="AR533" s="113">
        <f t="shared" si="554"/>
        <v>0.30467623908207775</v>
      </c>
      <c r="AS533" s="113">
        <f t="shared" si="554"/>
        <v>0.27581242062167421</v>
      </c>
      <c r="AT533" s="113">
        <f t="shared" si="554"/>
        <v>0.27382610978075583</v>
      </c>
      <c r="AU533" s="113">
        <f t="shared" si="554"/>
        <v>0.25555746107248772</v>
      </c>
      <c r="AV533" s="113">
        <f t="shared" si="554"/>
        <v>0.22050395910629672</v>
      </c>
      <c r="AW533" s="113">
        <f t="shared" si="554"/>
        <v>0.20318739975802441</v>
      </c>
      <c r="AY533" s="111" t="s">
        <v>54</v>
      </c>
      <c r="AZ533" s="179">
        <f t="shared" si="548"/>
        <v>1.3657811330513631E-2</v>
      </c>
      <c r="BA533" s="179">
        <f t="shared" si="548"/>
        <v>1.4717020161885974E-2</v>
      </c>
      <c r="BB533" s="179">
        <f t="shared" si="548"/>
        <v>9.7424448311923852E-3</v>
      </c>
      <c r="BC533" s="179">
        <f t="shared" si="548"/>
        <v>1.3405754519611422E-2</v>
      </c>
      <c r="BD533" s="179">
        <f t="shared" si="548"/>
        <v>3.8613738887034389E-3</v>
      </c>
      <c r="BE533" s="179">
        <f t="shared" si="548"/>
        <v>1.4238957708599304E-2</v>
      </c>
      <c r="BF533" s="179">
        <f t="shared" si="548"/>
        <v>1.0733413365044485E-2</v>
      </c>
      <c r="BG533" s="179">
        <f t="shared" si="548"/>
        <v>1.1025197955314836E-2</v>
      </c>
      <c r="BH533" s="179">
        <f t="shared" si="548"/>
        <v>1.1784869185965417E-2</v>
      </c>
    </row>
    <row r="534" spans="2:60" s="108" customFormat="1" x14ac:dyDescent="0.25">
      <c r="B534" s="11"/>
      <c r="E534" s="110" t="s">
        <v>1</v>
      </c>
      <c r="F534" s="110" t="s">
        <v>132</v>
      </c>
      <c r="G534" s="111" t="s">
        <v>55</v>
      </c>
      <c r="H534" s="70">
        <v>514044</v>
      </c>
      <c r="I534" s="70">
        <v>613056</v>
      </c>
      <c r="J534" s="70">
        <v>573449</v>
      </c>
      <c r="K534" s="70">
        <v>625666</v>
      </c>
      <c r="L534" s="70">
        <v>523024</v>
      </c>
      <c r="M534" s="70">
        <v>517386</v>
      </c>
      <c r="N534" s="70">
        <v>460349</v>
      </c>
      <c r="O534" s="112">
        <v>386699</v>
      </c>
      <c r="P534" s="112">
        <v>378731</v>
      </c>
      <c r="Q534" s="83"/>
      <c r="R534" s="111" t="s">
        <v>55</v>
      </c>
      <c r="S534" s="81">
        <v>3.1</v>
      </c>
      <c r="T534" s="81">
        <v>3.5</v>
      </c>
      <c r="U534" s="81">
        <v>3.1</v>
      </c>
      <c r="V534" s="81">
        <v>3.4</v>
      </c>
      <c r="W534" s="81">
        <v>3.6</v>
      </c>
      <c r="X534" s="81">
        <v>3.9</v>
      </c>
      <c r="Y534" s="81">
        <v>3.9</v>
      </c>
      <c r="Z534" s="81">
        <v>4.4000000000000004</v>
      </c>
      <c r="AA534" s="81">
        <v>4.7</v>
      </c>
      <c r="AB534" s="83"/>
      <c r="AC534" s="111" t="s">
        <v>55</v>
      </c>
      <c r="AD534" s="70">
        <f t="shared" si="545"/>
        <v>31870.728000000003</v>
      </c>
      <c r="AE534" s="70">
        <f t="shared" si="545"/>
        <v>42913.919999999998</v>
      </c>
      <c r="AF534" s="70">
        <f t="shared" si="545"/>
        <v>35553.838000000003</v>
      </c>
      <c r="AG534" s="70">
        <f t="shared" si="545"/>
        <v>42545.288</v>
      </c>
      <c r="AH534" s="70">
        <f t="shared" si="545"/>
        <v>37657.728000000003</v>
      </c>
      <c r="AI534" s="70">
        <f t="shared" si="545"/>
        <v>40356.108</v>
      </c>
      <c r="AJ534" s="70">
        <f t="shared" si="545"/>
        <v>35907.221999999994</v>
      </c>
      <c r="AK534" s="70">
        <f t="shared" si="545"/>
        <v>34029.512000000002</v>
      </c>
      <c r="AL534" s="70">
        <f t="shared" si="536"/>
        <v>35600.714</v>
      </c>
      <c r="AM534" s="83"/>
      <c r="AN534" s="111" t="s">
        <v>55</v>
      </c>
      <c r="AO534" s="113">
        <f t="shared" ref="AO534:AW534" si="555">H534/H532</f>
        <v>0.12447336413260751</v>
      </c>
      <c r="AP534" s="113">
        <f t="shared" si="555"/>
        <v>0.14559762961161521</v>
      </c>
      <c r="AQ534" s="113">
        <f t="shared" si="555"/>
        <v>0.13259080503302578</v>
      </c>
      <c r="AR534" s="113">
        <f t="shared" si="555"/>
        <v>0.14077948868415213</v>
      </c>
      <c r="AS534" s="113">
        <f t="shared" si="555"/>
        <v>0.11441066337202409</v>
      </c>
      <c r="AT534" s="113">
        <f t="shared" si="555"/>
        <v>0.11005089193833069</v>
      </c>
      <c r="AU534" s="113">
        <f t="shared" si="555"/>
        <v>9.6395913650348525E-2</v>
      </c>
      <c r="AV534" s="113">
        <f t="shared" si="555"/>
        <v>8.5132618557990175E-2</v>
      </c>
      <c r="AW534" s="113">
        <f t="shared" si="555"/>
        <v>8.1273200236739521E-2</v>
      </c>
      <c r="AY534" s="111" t="s">
        <v>55</v>
      </c>
      <c r="AZ534" s="179">
        <f t="shared" si="548"/>
        <v>7.7173485762216656E-3</v>
      </c>
      <c r="BA534" s="179">
        <f t="shared" si="548"/>
        <v>1.0191834072813065E-2</v>
      </c>
      <c r="BB534" s="179">
        <f t="shared" si="548"/>
        <v>8.220629912047599E-3</v>
      </c>
      <c r="BC534" s="179">
        <f t="shared" si="548"/>
        <v>9.573005230522345E-3</v>
      </c>
      <c r="BD534" s="179">
        <f t="shared" si="548"/>
        <v>8.2375677627857351E-3</v>
      </c>
      <c r="BE534" s="179">
        <f t="shared" si="548"/>
        <v>8.5839695711897937E-3</v>
      </c>
      <c r="BF534" s="179">
        <f t="shared" si="548"/>
        <v>7.5188812647271853E-3</v>
      </c>
      <c r="BG534" s="179">
        <f t="shared" si="548"/>
        <v>7.4916704331031356E-3</v>
      </c>
      <c r="BH534" s="179">
        <f t="shared" si="548"/>
        <v>7.6396808222535147E-3</v>
      </c>
    </row>
    <row r="535" spans="2:60" s="108" customFormat="1" x14ac:dyDescent="0.25">
      <c r="B535" s="11"/>
      <c r="E535" s="110" t="s">
        <v>1</v>
      </c>
      <c r="F535" s="110" t="s">
        <v>132</v>
      </c>
      <c r="G535" s="111" t="s">
        <v>130</v>
      </c>
      <c r="H535" s="70">
        <v>602825</v>
      </c>
      <c r="I535" s="70">
        <v>617068</v>
      </c>
      <c r="J535" s="70">
        <v>650746</v>
      </c>
      <c r="K535" s="70">
        <v>614603</v>
      </c>
      <c r="L535" s="70">
        <v>658951</v>
      </c>
      <c r="M535" s="70">
        <v>656909</v>
      </c>
      <c r="N535" s="70">
        <v>714389</v>
      </c>
      <c r="O535" s="112">
        <v>696054</v>
      </c>
      <c r="P535" s="112">
        <v>674989</v>
      </c>
      <c r="Q535" s="83"/>
      <c r="R535" s="111" t="s">
        <v>130</v>
      </c>
      <c r="S535" s="220">
        <v>3.1</v>
      </c>
      <c r="T535" s="220">
        <v>3.5</v>
      </c>
      <c r="U535" s="220">
        <v>3.1</v>
      </c>
      <c r="V535" s="220">
        <v>3.4</v>
      </c>
      <c r="W535" s="220">
        <v>2.2999999999999998</v>
      </c>
      <c r="X535" s="220">
        <v>3.9</v>
      </c>
      <c r="Y535" s="220">
        <v>4</v>
      </c>
      <c r="Z535" s="220">
        <v>3.7</v>
      </c>
      <c r="AA535" s="220">
        <v>3.8</v>
      </c>
      <c r="AB535" s="83"/>
      <c r="AC535" s="111" t="s">
        <v>130</v>
      </c>
      <c r="AD535" s="70">
        <f t="shared" si="545"/>
        <v>37375.15</v>
      </c>
      <c r="AE535" s="70">
        <f t="shared" si="545"/>
        <v>43194.76</v>
      </c>
      <c r="AF535" s="70">
        <f t="shared" si="545"/>
        <v>40346.252</v>
      </c>
      <c r="AG535" s="70">
        <f t="shared" si="545"/>
        <v>41793.004000000001</v>
      </c>
      <c r="AH535" s="70">
        <f t="shared" si="545"/>
        <v>30311.745999999996</v>
      </c>
      <c r="AI535" s="70">
        <f t="shared" si="545"/>
        <v>51238.902000000002</v>
      </c>
      <c r="AJ535" s="70">
        <f t="shared" si="545"/>
        <v>57151.12</v>
      </c>
      <c r="AK535" s="70">
        <f t="shared" si="545"/>
        <v>51507.996000000006</v>
      </c>
      <c r="AL535" s="70">
        <f t="shared" si="536"/>
        <v>51299.163999999997</v>
      </c>
      <c r="AM535" s="83"/>
      <c r="AN535" s="111" t="s">
        <v>130</v>
      </c>
      <c r="AO535" s="113">
        <f t="shared" ref="AO535:AW535" si="556">H535/H532</f>
        <v>0.14597127042284147</v>
      </c>
      <c r="AP535" s="113">
        <f t="shared" si="556"/>
        <v>0.14655045886375825</v>
      </c>
      <c r="AQ535" s="113">
        <f t="shared" si="556"/>
        <v>0.15046313798092142</v>
      </c>
      <c r="AR535" s="113">
        <f t="shared" si="556"/>
        <v>0.13829023166313331</v>
      </c>
      <c r="AS535" s="113">
        <f t="shared" si="556"/>
        <v>0.14414447719351053</v>
      </c>
      <c r="AT535" s="113">
        <f t="shared" si="556"/>
        <v>0.13972821331137078</v>
      </c>
      <c r="AU535" s="113">
        <f t="shared" si="556"/>
        <v>0.14959124567829807</v>
      </c>
      <c r="AV535" s="113">
        <f t="shared" si="556"/>
        <v>0.15323778876532726</v>
      </c>
      <c r="AW535" s="113">
        <f t="shared" si="556"/>
        <v>0.14484823305881106</v>
      </c>
      <c r="AY535" s="111" t="s">
        <v>130</v>
      </c>
      <c r="AZ535" s="179">
        <f t="shared" si="548"/>
        <v>9.0502187662161709E-3</v>
      </c>
      <c r="BA535" s="179">
        <f t="shared" si="548"/>
        <v>1.0258532120463078E-2</v>
      </c>
      <c r="BB535" s="179">
        <f t="shared" si="548"/>
        <v>9.3287145548171298E-3</v>
      </c>
      <c r="BC535" s="179">
        <f t="shared" si="548"/>
        <v>9.4037357530930652E-3</v>
      </c>
      <c r="BD535" s="179">
        <f t="shared" si="548"/>
        <v>6.6306459509014835E-3</v>
      </c>
      <c r="BE535" s="179">
        <f t="shared" si="548"/>
        <v>1.089880063828692E-2</v>
      </c>
      <c r="BF535" s="179">
        <f t="shared" si="548"/>
        <v>1.1967299654263845E-2</v>
      </c>
      <c r="BG535" s="179">
        <f t="shared" si="548"/>
        <v>1.1339596368634217E-2</v>
      </c>
      <c r="BH535" s="179">
        <f t="shared" si="548"/>
        <v>1.1008465712469639E-2</v>
      </c>
    </row>
    <row r="536" spans="2:60" s="108" customFormat="1" x14ac:dyDescent="0.25">
      <c r="B536" s="11"/>
      <c r="E536" s="110" t="s">
        <v>1</v>
      </c>
      <c r="F536" s="110" t="s">
        <v>132</v>
      </c>
      <c r="G536" s="111" t="s">
        <v>131</v>
      </c>
      <c r="H536" s="112">
        <v>1603080</v>
      </c>
      <c r="I536" s="112">
        <v>1633785</v>
      </c>
      <c r="J536" s="112">
        <v>1784277</v>
      </c>
      <c r="K536" s="112">
        <v>1850374</v>
      </c>
      <c r="L536" s="112">
        <v>2129174</v>
      </c>
      <c r="M536" s="112">
        <v>2240822</v>
      </c>
      <c r="N536" s="112">
        <v>2381793</v>
      </c>
      <c r="O536" s="112">
        <v>2457962</v>
      </c>
      <c r="P536" s="112">
        <v>2659406</v>
      </c>
      <c r="Q536" s="83"/>
      <c r="R536" s="111" t="s">
        <v>131</v>
      </c>
      <c r="S536" s="220">
        <v>1.5</v>
      </c>
      <c r="T536" s="220">
        <v>1.7</v>
      </c>
      <c r="U536" s="220">
        <v>1.2</v>
      </c>
      <c r="V536" s="220">
        <v>1.7</v>
      </c>
      <c r="W536" s="220">
        <v>1.4</v>
      </c>
      <c r="X536" s="220">
        <v>1.5</v>
      </c>
      <c r="Y536" s="220">
        <v>1.5</v>
      </c>
      <c r="Z536" s="220">
        <v>1.1000000000000001</v>
      </c>
      <c r="AA536" s="220">
        <v>1.2</v>
      </c>
      <c r="AB536" s="83"/>
      <c r="AC536" s="111" t="s">
        <v>131</v>
      </c>
      <c r="AD536" s="112">
        <f t="shared" si="545"/>
        <v>48092.4</v>
      </c>
      <c r="AE536" s="112">
        <f t="shared" si="545"/>
        <v>55548.69</v>
      </c>
      <c r="AF536" s="112">
        <f t="shared" si="545"/>
        <v>42822.648000000001</v>
      </c>
      <c r="AG536" s="112">
        <f t="shared" si="545"/>
        <v>62912.715999999993</v>
      </c>
      <c r="AH536" s="112">
        <f t="shared" si="545"/>
        <v>59616.871999999996</v>
      </c>
      <c r="AI536" s="112">
        <f t="shared" si="545"/>
        <v>67224.66</v>
      </c>
      <c r="AJ536" s="112">
        <f t="shared" si="545"/>
        <v>71453.789999999994</v>
      </c>
      <c r="AK536" s="112">
        <f t="shared" si="545"/>
        <v>54075.164000000004</v>
      </c>
      <c r="AL536" s="112">
        <f t="shared" si="536"/>
        <v>63825.743999999992</v>
      </c>
      <c r="AM536" s="83"/>
      <c r="AN536" s="111" t="s">
        <v>131</v>
      </c>
      <c r="AO536" s="113">
        <f t="shared" ref="AO536:AW536" si="557">H536/H532</f>
        <v>0.38817836717032095</v>
      </c>
      <c r="AP536" s="113">
        <f t="shared" si="557"/>
        <v>0.3880154884627387</v>
      </c>
      <c r="AQ536" s="113">
        <f t="shared" si="557"/>
        <v>0.41255407862235727</v>
      </c>
      <c r="AR536" s="113">
        <f t="shared" si="557"/>
        <v>0.41634786866227241</v>
      </c>
      <c r="AS536" s="113">
        <f t="shared" si="557"/>
        <v>0.46575340667821369</v>
      </c>
      <c r="AT536" s="113">
        <f t="shared" si="557"/>
        <v>0.4766353549864783</v>
      </c>
      <c r="AU536" s="113">
        <f t="shared" si="557"/>
        <v>0.49874141653615972</v>
      </c>
      <c r="AV536" s="113">
        <f t="shared" si="557"/>
        <v>0.54112563357038579</v>
      </c>
      <c r="AW536" s="113">
        <f t="shared" si="557"/>
        <v>0.57069116694642508</v>
      </c>
      <c r="AY536" s="111" t="s">
        <v>131</v>
      </c>
      <c r="AZ536" s="179">
        <f t="shared" si="548"/>
        <v>1.1645351015109629E-2</v>
      </c>
      <c r="BA536" s="179">
        <f t="shared" si="548"/>
        <v>1.3192526607733115E-2</v>
      </c>
      <c r="BB536" s="179">
        <f t="shared" si="548"/>
        <v>9.9012978869365744E-3</v>
      </c>
      <c r="BC536" s="179">
        <f t="shared" si="548"/>
        <v>1.4155827534517263E-2</v>
      </c>
      <c r="BD536" s="179">
        <f t="shared" si="548"/>
        <v>1.3041095386989983E-2</v>
      </c>
      <c r="BE536" s="179">
        <f t="shared" si="548"/>
        <v>1.4299060649594348E-2</v>
      </c>
      <c r="BF536" s="179">
        <f t="shared" si="548"/>
        <v>1.4962242496084792E-2</v>
      </c>
      <c r="BG536" s="179">
        <f t="shared" si="548"/>
        <v>1.1904763938548488E-2</v>
      </c>
      <c r="BH536" s="179">
        <f t="shared" si="548"/>
        <v>1.3696588006714201E-2</v>
      </c>
    </row>
    <row r="537" spans="2:60" s="108" customFormat="1" x14ac:dyDescent="0.25">
      <c r="B537" s="11"/>
      <c r="C537" s="85"/>
      <c r="D537" s="85"/>
      <c r="E537" s="207" t="s">
        <v>2</v>
      </c>
      <c r="F537" s="207" t="s">
        <v>132</v>
      </c>
      <c r="G537" s="195" t="s">
        <v>7</v>
      </c>
      <c r="H537" s="274">
        <v>7459027</v>
      </c>
      <c r="I537" s="274">
        <v>7336328</v>
      </c>
      <c r="J537" s="274">
        <v>7121839</v>
      </c>
      <c r="K537" s="274">
        <v>7019289</v>
      </c>
      <c r="L537" s="274">
        <v>6887101</v>
      </c>
      <c r="M537" s="274">
        <v>6855821</v>
      </c>
      <c r="N537" s="274">
        <v>6984299</v>
      </c>
      <c r="O537" s="69">
        <v>7234954</v>
      </c>
      <c r="P537" s="69">
        <v>7475020</v>
      </c>
      <c r="Q537" s="83"/>
      <c r="R537" s="195" t="s">
        <v>7</v>
      </c>
      <c r="S537" s="226">
        <v>0.3</v>
      </c>
      <c r="T537" s="226">
        <v>0.3</v>
      </c>
      <c r="U537" s="226">
        <v>0.3</v>
      </c>
      <c r="V537" s="226">
        <v>0.3</v>
      </c>
      <c r="W537" s="226">
        <v>0.4</v>
      </c>
      <c r="X537" s="226">
        <v>0.4</v>
      </c>
      <c r="Y537" s="226">
        <v>0.4</v>
      </c>
      <c r="Z537" s="226">
        <v>0.3</v>
      </c>
      <c r="AA537" s="226">
        <v>0.3</v>
      </c>
      <c r="AB537" s="83"/>
      <c r="AC537" s="195" t="s">
        <v>7</v>
      </c>
      <c r="AD537" s="69">
        <f t="shared" si="545"/>
        <v>44754.162000000004</v>
      </c>
      <c r="AE537" s="69">
        <f t="shared" si="545"/>
        <v>44017.968000000001</v>
      </c>
      <c r="AF537" s="69">
        <f t="shared" si="545"/>
        <v>42731.033999999992</v>
      </c>
      <c r="AG537" s="69">
        <f t="shared" si="545"/>
        <v>42115.733999999997</v>
      </c>
      <c r="AH537" s="69">
        <f t="shared" si="545"/>
        <v>55096.808000000005</v>
      </c>
      <c r="AI537" s="69">
        <f t="shared" si="545"/>
        <v>54846.568000000007</v>
      </c>
      <c r="AJ537" s="69">
        <f t="shared" si="545"/>
        <v>55874.392</v>
      </c>
      <c r="AK537" s="69">
        <f t="shared" si="545"/>
        <v>43409.723999999995</v>
      </c>
      <c r="AL537" s="69">
        <f t="shared" si="536"/>
        <v>44850.12</v>
      </c>
      <c r="AM537" s="83"/>
      <c r="AN537" s="195" t="s">
        <v>7</v>
      </c>
      <c r="AO537" s="98">
        <f t="shared" ref="AO537:AW537" si="558">H537/H537</f>
        <v>1</v>
      </c>
      <c r="AP537" s="98">
        <f t="shared" si="558"/>
        <v>1</v>
      </c>
      <c r="AQ537" s="98">
        <f t="shared" si="558"/>
        <v>1</v>
      </c>
      <c r="AR537" s="98">
        <f t="shared" si="558"/>
        <v>1</v>
      </c>
      <c r="AS537" s="98">
        <f t="shared" si="558"/>
        <v>1</v>
      </c>
      <c r="AT537" s="98">
        <f t="shared" si="558"/>
        <v>1</v>
      </c>
      <c r="AU537" s="98">
        <f t="shared" si="558"/>
        <v>1</v>
      </c>
      <c r="AV537" s="98">
        <f t="shared" si="558"/>
        <v>1</v>
      </c>
      <c r="AW537" s="98">
        <f t="shared" si="558"/>
        <v>1</v>
      </c>
      <c r="AY537" s="195" t="s">
        <v>7</v>
      </c>
      <c r="AZ537" s="178">
        <f t="shared" si="548"/>
        <v>6.0000000000000001E-3</v>
      </c>
      <c r="BA537" s="178">
        <f t="shared" si="548"/>
        <v>6.0000000000000001E-3</v>
      </c>
      <c r="BB537" s="178">
        <f t="shared" si="548"/>
        <v>6.0000000000000001E-3</v>
      </c>
      <c r="BC537" s="178">
        <f t="shared" si="548"/>
        <v>6.0000000000000001E-3</v>
      </c>
      <c r="BD537" s="178">
        <f t="shared" si="548"/>
        <v>8.0000000000000002E-3</v>
      </c>
      <c r="BE537" s="178">
        <f t="shared" si="548"/>
        <v>8.0000000000000002E-3</v>
      </c>
      <c r="BF537" s="178">
        <f t="shared" si="548"/>
        <v>8.0000000000000002E-3</v>
      </c>
      <c r="BG537" s="178">
        <f t="shared" si="548"/>
        <v>6.0000000000000001E-3</v>
      </c>
      <c r="BH537" s="178">
        <f t="shared" si="548"/>
        <v>6.0000000000000001E-3</v>
      </c>
    </row>
    <row r="538" spans="2:60" x14ac:dyDescent="0.25">
      <c r="C538" s="108"/>
      <c r="D538" s="108"/>
      <c r="E538" s="110" t="s">
        <v>2</v>
      </c>
      <c r="F538" s="110" t="s">
        <v>132</v>
      </c>
      <c r="G538" s="111" t="s">
        <v>54</v>
      </c>
      <c r="H538" s="112">
        <v>2349396</v>
      </c>
      <c r="I538" s="112">
        <v>2033446</v>
      </c>
      <c r="J538" s="112">
        <v>1879622</v>
      </c>
      <c r="K538" s="112">
        <v>1809110</v>
      </c>
      <c r="L538" s="112">
        <v>1627305</v>
      </c>
      <c r="M538" s="112">
        <v>1657694</v>
      </c>
      <c r="N538" s="112">
        <v>1551515</v>
      </c>
      <c r="O538" s="112">
        <v>1489026</v>
      </c>
      <c r="P538" s="112">
        <v>1413222</v>
      </c>
      <c r="R538" s="111" t="s">
        <v>54</v>
      </c>
      <c r="S538" s="220">
        <v>1.3</v>
      </c>
      <c r="T538" s="220">
        <v>1.5</v>
      </c>
      <c r="U538" s="220">
        <v>1.6</v>
      </c>
      <c r="V538" s="220">
        <v>1.5</v>
      </c>
      <c r="W538" s="220">
        <v>2</v>
      </c>
      <c r="X538" s="220">
        <v>2.6</v>
      </c>
      <c r="Y538" s="220">
        <v>1.9</v>
      </c>
      <c r="Z538" s="220">
        <v>2.5</v>
      </c>
      <c r="AA538" s="220">
        <v>2.6</v>
      </c>
      <c r="AC538" s="111" t="s">
        <v>54</v>
      </c>
      <c r="AD538" s="112">
        <f t="shared" si="545"/>
        <v>61084.296000000002</v>
      </c>
      <c r="AE538" s="112">
        <f t="shared" si="545"/>
        <v>61003.38</v>
      </c>
      <c r="AF538" s="112">
        <f t="shared" si="545"/>
        <v>60147.904000000002</v>
      </c>
      <c r="AG538" s="112">
        <f t="shared" si="545"/>
        <v>54273.3</v>
      </c>
      <c r="AH538" s="112">
        <f t="shared" si="545"/>
        <v>65092.2</v>
      </c>
      <c r="AI538" s="112">
        <f t="shared" si="545"/>
        <v>86200.088000000003</v>
      </c>
      <c r="AJ538" s="112">
        <f t="shared" si="545"/>
        <v>58957.57</v>
      </c>
      <c r="AK538" s="112">
        <f t="shared" si="545"/>
        <v>74451.3</v>
      </c>
      <c r="AL538" s="112">
        <f t="shared" si="536"/>
        <v>73487.544000000009</v>
      </c>
      <c r="AN538" s="111" t="s">
        <v>54</v>
      </c>
      <c r="AO538" s="113">
        <f t="shared" ref="AO538:AW538" si="559">H538/H537</f>
        <v>0.3149735213453444</v>
      </c>
      <c r="AP538" s="113">
        <f t="shared" si="559"/>
        <v>0.27717490275789197</v>
      </c>
      <c r="AQ538" s="113">
        <f t="shared" si="559"/>
        <v>0.2639236860030113</v>
      </c>
      <c r="AR538" s="113">
        <f t="shared" si="559"/>
        <v>0.25773408104439066</v>
      </c>
      <c r="AS538" s="113">
        <f t="shared" si="559"/>
        <v>0.23628301661323103</v>
      </c>
      <c r="AT538" s="113">
        <f t="shared" si="559"/>
        <v>0.24179365243054041</v>
      </c>
      <c r="AU538" s="113">
        <f t="shared" si="559"/>
        <v>0.22214326734866305</v>
      </c>
      <c r="AV538" s="113">
        <f t="shared" si="559"/>
        <v>0.20581001620742856</v>
      </c>
      <c r="AW538" s="113">
        <f t="shared" si="559"/>
        <v>0.18905929348684017</v>
      </c>
      <c r="AY538" s="111" t="s">
        <v>54</v>
      </c>
      <c r="AZ538" s="179">
        <f t="shared" si="548"/>
        <v>8.1893115549789546E-3</v>
      </c>
      <c r="BA538" s="179">
        <f t="shared" si="548"/>
        <v>8.315247082736758E-3</v>
      </c>
      <c r="BB538" s="179">
        <f t="shared" si="548"/>
        <v>8.4455579520963612E-3</v>
      </c>
      <c r="BC538" s="179">
        <f t="shared" si="548"/>
        <v>7.7320224313317202E-3</v>
      </c>
      <c r="BD538" s="179">
        <f t="shared" si="548"/>
        <v>9.4513206645292416E-3</v>
      </c>
      <c r="BE538" s="179">
        <f t="shared" si="548"/>
        <v>1.2573269926388101E-2</v>
      </c>
      <c r="BF538" s="179">
        <f t="shared" si="548"/>
        <v>8.4414441592491948E-3</v>
      </c>
      <c r="BG538" s="179">
        <f t="shared" si="548"/>
        <v>1.0290500810371427E-2</v>
      </c>
      <c r="BH538" s="179">
        <f t="shared" si="548"/>
        <v>9.8310832613156887E-3</v>
      </c>
    </row>
    <row r="539" spans="2:60" x14ac:dyDescent="0.25">
      <c r="C539" s="108"/>
      <c r="D539" s="108"/>
      <c r="E539" s="110" t="s">
        <v>2</v>
      </c>
      <c r="F539" s="110" t="s">
        <v>132</v>
      </c>
      <c r="G539" s="111" t="s">
        <v>55</v>
      </c>
      <c r="H539" s="70">
        <v>1674944</v>
      </c>
      <c r="I539" s="70">
        <v>1718074</v>
      </c>
      <c r="J539" s="70">
        <v>1569501</v>
      </c>
      <c r="K539" s="70">
        <v>1501303</v>
      </c>
      <c r="L539" s="70">
        <v>1400413</v>
      </c>
      <c r="M539" s="70">
        <v>1431834</v>
      </c>
      <c r="N539" s="70">
        <v>1483852</v>
      </c>
      <c r="O539" s="112">
        <v>1480334</v>
      </c>
      <c r="P539" s="112">
        <v>1553190</v>
      </c>
      <c r="R539" s="111" t="s">
        <v>55</v>
      </c>
      <c r="S539" s="81">
        <v>1.5</v>
      </c>
      <c r="T539" s="81">
        <v>1.5</v>
      </c>
      <c r="U539" s="81">
        <v>1.6</v>
      </c>
      <c r="V539" s="81">
        <v>1.5</v>
      </c>
      <c r="W539" s="81">
        <v>2.6</v>
      </c>
      <c r="X539" s="81">
        <v>2.2000000000000002</v>
      </c>
      <c r="Y539" s="81">
        <v>2.2000000000000002</v>
      </c>
      <c r="Z539" s="81">
        <v>2.5</v>
      </c>
      <c r="AA539" s="81">
        <v>2.2000000000000002</v>
      </c>
      <c r="AC539" s="111" t="s">
        <v>55</v>
      </c>
      <c r="AD539" s="70">
        <f t="shared" si="545"/>
        <v>50248.32</v>
      </c>
      <c r="AE539" s="70">
        <f t="shared" si="545"/>
        <v>51542.22</v>
      </c>
      <c r="AF539" s="70">
        <f t="shared" si="545"/>
        <v>50224.031999999999</v>
      </c>
      <c r="AG539" s="70">
        <f t="shared" si="545"/>
        <v>45039.09</v>
      </c>
      <c r="AH539" s="70">
        <f t="shared" si="545"/>
        <v>72821.47600000001</v>
      </c>
      <c r="AI539" s="70">
        <f t="shared" si="545"/>
        <v>63000.696000000004</v>
      </c>
      <c r="AJ539" s="70">
        <f t="shared" si="545"/>
        <v>65289.488000000005</v>
      </c>
      <c r="AK539" s="70">
        <f t="shared" si="545"/>
        <v>74016.7</v>
      </c>
      <c r="AL539" s="70">
        <f t="shared" si="536"/>
        <v>68340.360000000015</v>
      </c>
      <c r="AN539" s="111" t="s">
        <v>55</v>
      </c>
      <c r="AO539" s="113">
        <f t="shared" ref="AO539:AW539" si="560">H539/H537</f>
        <v>0.22455261255925202</v>
      </c>
      <c r="AP539" s="113">
        <f t="shared" si="560"/>
        <v>0.23418718465150412</v>
      </c>
      <c r="AQ539" s="113">
        <f t="shared" si="560"/>
        <v>0.22037861288355437</v>
      </c>
      <c r="AR539" s="113">
        <f t="shared" si="560"/>
        <v>0.21388248866801182</v>
      </c>
      <c r="AS539" s="113">
        <f t="shared" si="560"/>
        <v>0.20333853097261098</v>
      </c>
      <c r="AT539" s="113">
        <f t="shared" si="560"/>
        <v>0.20884938507000109</v>
      </c>
      <c r="AU539" s="113">
        <f t="shared" si="560"/>
        <v>0.21245539459292909</v>
      </c>
      <c r="AV539" s="113">
        <f t="shared" si="560"/>
        <v>0.20460862639900682</v>
      </c>
      <c r="AW539" s="113">
        <f t="shared" si="560"/>
        <v>0.20778405944064363</v>
      </c>
      <c r="AY539" s="111" t="s">
        <v>55</v>
      </c>
      <c r="AZ539" s="179">
        <f t="shared" si="548"/>
        <v>6.7365783767775597E-3</v>
      </c>
      <c r="BA539" s="179">
        <f t="shared" si="548"/>
        <v>7.0256155395451237E-3</v>
      </c>
      <c r="BB539" s="179">
        <f t="shared" si="548"/>
        <v>7.0521156122737407E-3</v>
      </c>
      <c r="BC539" s="179">
        <f t="shared" si="548"/>
        <v>6.4164746600403541E-3</v>
      </c>
      <c r="BD539" s="179">
        <f t="shared" si="548"/>
        <v>1.0573603610575773E-2</v>
      </c>
      <c r="BE539" s="179">
        <f t="shared" si="548"/>
        <v>9.1893729430800493E-3</v>
      </c>
      <c r="BF539" s="179">
        <f t="shared" si="548"/>
        <v>9.3480373620888797E-3</v>
      </c>
      <c r="BG539" s="179">
        <f t="shared" si="548"/>
        <v>1.0230431319950342E-2</v>
      </c>
      <c r="BH539" s="179">
        <f t="shared" si="548"/>
        <v>9.1424986153883208E-3</v>
      </c>
    </row>
    <row r="540" spans="2:60" x14ac:dyDescent="0.25">
      <c r="C540" s="108"/>
      <c r="D540" s="108"/>
      <c r="E540" s="110" t="s">
        <v>2</v>
      </c>
      <c r="F540" s="110" t="s">
        <v>132</v>
      </c>
      <c r="G540" s="111" t="s">
        <v>130</v>
      </c>
      <c r="H540" s="70">
        <v>973343</v>
      </c>
      <c r="I540" s="70">
        <v>1114355</v>
      </c>
      <c r="J540" s="70">
        <v>1054578</v>
      </c>
      <c r="K540" s="70">
        <v>944380</v>
      </c>
      <c r="L540" s="70">
        <v>942350</v>
      </c>
      <c r="M540" s="70">
        <v>982682</v>
      </c>
      <c r="N540" s="70">
        <v>983984</v>
      </c>
      <c r="O540" s="112">
        <v>1067030</v>
      </c>
      <c r="P540" s="112">
        <v>1127474</v>
      </c>
      <c r="R540" s="111" t="s">
        <v>130</v>
      </c>
      <c r="S540" s="220">
        <v>2.2999999999999998</v>
      </c>
      <c r="T540" s="220">
        <v>2.2999999999999998</v>
      </c>
      <c r="U540" s="220">
        <v>2</v>
      </c>
      <c r="V540" s="220">
        <v>2.7</v>
      </c>
      <c r="W540" s="220">
        <v>3</v>
      </c>
      <c r="X540" s="220">
        <v>2.8</v>
      </c>
      <c r="Y540" s="220">
        <v>2.9</v>
      </c>
      <c r="Z540" s="220">
        <v>2.6</v>
      </c>
      <c r="AA540" s="220">
        <v>2.6</v>
      </c>
      <c r="AC540" s="111" t="s">
        <v>130</v>
      </c>
      <c r="AD540" s="70">
        <f t="shared" si="545"/>
        <v>44773.777999999998</v>
      </c>
      <c r="AE540" s="70">
        <f t="shared" si="545"/>
        <v>51260.33</v>
      </c>
      <c r="AF540" s="70">
        <f t="shared" si="545"/>
        <v>42183.12</v>
      </c>
      <c r="AG540" s="70">
        <f t="shared" si="545"/>
        <v>50996.52</v>
      </c>
      <c r="AH540" s="70">
        <f t="shared" si="545"/>
        <v>56541</v>
      </c>
      <c r="AI540" s="70">
        <f t="shared" si="545"/>
        <v>55030.191999999995</v>
      </c>
      <c r="AJ540" s="70">
        <f t="shared" si="545"/>
        <v>57071.072</v>
      </c>
      <c r="AK540" s="70">
        <f t="shared" si="545"/>
        <v>55485.56</v>
      </c>
      <c r="AL540" s="70">
        <f t="shared" si="536"/>
        <v>58628.648000000001</v>
      </c>
      <c r="AN540" s="111" t="s">
        <v>130</v>
      </c>
      <c r="AO540" s="113">
        <f t="shared" ref="AO540:AW540" si="561">H540/H537</f>
        <v>0.13049195290484938</v>
      </c>
      <c r="AP540" s="113">
        <f t="shared" si="561"/>
        <v>0.15189547141294665</v>
      </c>
      <c r="AQ540" s="113">
        <f t="shared" si="561"/>
        <v>0.14807664144050434</v>
      </c>
      <c r="AR540" s="113">
        <f t="shared" si="561"/>
        <v>0.13454069208434075</v>
      </c>
      <c r="AS540" s="113">
        <f t="shared" si="561"/>
        <v>0.13682825328102491</v>
      </c>
      <c r="AT540" s="113">
        <f t="shared" si="561"/>
        <v>0.14333542255551887</v>
      </c>
      <c r="AU540" s="113">
        <f t="shared" si="561"/>
        <v>0.14088514824465562</v>
      </c>
      <c r="AV540" s="113">
        <f t="shared" si="561"/>
        <v>0.14748262393928144</v>
      </c>
      <c r="AW540" s="113">
        <f t="shared" si="561"/>
        <v>0.15083223857595029</v>
      </c>
      <c r="AY540" s="111" t="s">
        <v>130</v>
      </c>
      <c r="AZ540" s="179">
        <f t="shared" si="548"/>
        <v>6.0026298336230714E-3</v>
      </c>
      <c r="BA540" s="179">
        <f t="shared" si="548"/>
        <v>6.9871916849955449E-3</v>
      </c>
      <c r="BB540" s="179">
        <f t="shared" si="548"/>
        <v>5.9230656576201735E-3</v>
      </c>
      <c r="BC540" s="179">
        <f t="shared" si="548"/>
        <v>7.2651973725544007E-3</v>
      </c>
      <c r="BD540" s="179">
        <f t="shared" si="548"/>
        <v>8.2096951968614953E-3</v>
      </c>
      <c r="BE540" s="179">
        <f t="shared" si="548"/>
        <v>8.0267836631090564E-3</v>
      </c>
      <c r="BF540" s="179">
        <f t="shared" si="548"/>
        <v>8.1713385981900255E-3</v>
      </c>
      <c r="BG540" s="179">
        <f t="shared" si="548"/>
        <v>7.6690964448426343E-3</v>
      </c>
      <c r="BH540" s="179">
        <f t="shared" si="548"/>
        <v>7.8432764059494162E-3</v>
      </c>
    </row>
    <row r="541" spans="2:60" x14ac:dyDescent="0.25">
      <c r="C541" s="108"/>
      <c r="D541" s="108"/>
      <c r="E541" s="110" t="s">
        <v>2</v>
      </c>
      <c r="F541" s="110" t="s">
        <v>132</v>
      </c>
      <c r="G541" s="111" t="s">
        <v>131</v>
      </c>
      <c r="H541" s="112">
        <v>2461153</v>
      </c>
      <c r="I541" s="112">
        <v>2470754</v>
      </c>
      <c r="J541" s="112">
        <v>2615823</v>
      </c>
      <c r="K541" s="112">
        <v>2764886</v>
      </c>
      <c r="L541" s="112">
        <v>2918452</v>
      </c>
      <c r="M541" s="112">
        <v>2784426</v>
      </c>
      <c r="N541" s="112">
        <v>2965613</v>
      </c>
      <c r="O541" s="112">
        <v>3198564</v>
      </c>
      <c r="P541" s="112">
        <v>3381134</v>
      </c>
      <c r="R541" s="111" t="s">
        <v>131</v>
      </c>
      <c r="S541" s="220">
        <v>1.2</v>
      </c>
      <c r="T541" s="220">
        <v>1.4</v>
      </c>
      <c r="U541" s="220">
        <v>1.3</v>
      </c>
      <c r="V541" s="220">
        <v>1</v>
      </c>
      <c r="W541" s="220">
        <v>1.7</v>
      </c>
      <c r="X541" s="220">
        <v>1.2</v>
      </c>
      <c r="Y541" s="220">
        <v>1.4</v>
      </c>
      <c r="Z541" s="220">
        <v>1.3</v>
      </c>
      <c r="AA541" s="220">
        <v>1.2</v>
      </c>
      <c r="AC541" s="111" t="s">
        <v>131</v>
      </c>
      <c r="AD541" s="112">
        <f t="shared" si="545"/>
        <v>59067.671999999999</v>
      </c>
      <c r="AE541" s="112">
        <f t="shared" si="545"/>
        <v>69181.111999999994</v>
      </c>
      <c r="AF541" s="112">
        <f t="shared" si="545"/>
        <v>68011.398000000001</v>
      </c>
      <c r="AG541" s="112">
        <f t="shared" si="545"/>
        <v>55297.72</v>
      </c>
      <c r="AH541" s="112">
        <f t="shared" si="545"/>
        <v>99227.367999999988</v>
      </c>
      <c r="AI541" s="112">
        <f t="shared" si="545"/>
        <v>66826.223999999987</v>
      </c>
      <c r="AJ541" s="112">
        <f t="shared" si="545"/>
        <v>83037.16399999999</v>
      </c>
      <c r="AK541" s="112">
        <f t="shared" si="545"/>
        <v>83162.664000000004</v>
      </c>
      <c r="AL541" s="112">
        <f t="shared" si="536"/>
        <v>81147.216</v>
      </c>
      <c r="AN541" s="111" t="s">
        <v>131</v>
      </c>
      <c r="AO541" s="113">
        <f t="shared" ref="AO541:AW541" si="562">H541/H537</f>
        <v>0.32995630663355957</v>
      </c>
      <c r="AP541" s="113">
        <f t="shared" si="562"/>
        <v>0.33678346987757363</v>
      </c>
      <c r="AQ541" s="113">
        <f t="shared" si="562"/>
        <v>0.36729600318120081</v>
      </c>
      <c r="AR541" s="113">
        <f t="shared" si="562"/>
        <v>0.39389829938616289</v>
      </c>
      <c r="AS541" s="113">
        <f t="shared" si="562"/>
        <v>0.42375623647743804</v>
      </c>
      <c r="AT541" s="113">
        <f t="shared" si="562"/>
        <v>0.40614041702664055</v>
      </c>
      <c r="AU541" s="113">
        <f t="shared" si="562"/>
        <v>0.42461140337777636</v>
      </c>
      <c r="AV541" s="113">
        <f t="shared" si="562"/>
        <v>0.44209873345428319</v>
      </c>
      <c r="AW541" s="113">
        <f t="shared" si="562"/>
        <v>0.45232440849656591</v>
      </c>
      <c r="AY541" s="111" t="s">
        <v>131</v>
      </c>
      <c r="AZ541" s="179">
        <f t="shared" si="548"/>
        <v>7.9189513592054298E-3</v>
      </c>
      <c r="BA541" s="179">
        <f t="shared" si="548"/>
        <v>9.429937156572062E-3</v>
      </c>
      <c r="BB541" s="179">
        <f t="shared" si="548"/>
        <v>9.5496960827112214E-3</v>
      </c>
      <c r="BC541" s="179">
        <f t="shared" si="548"/>
        <v>7.877965987723258E-3</v>
      </c>
      <c r="BD541" s="179">
        <f t="shared" si="548"/>
        <v>1.4407712040232895E-2</v>
      </c>
      <c r="BE541" s="179">
        <f t="shared" si="548"/>
        <v>9.7473700086393739E-3</v>
      </c>
      <c r="BF541" s="179">
        <f t="shared" si="548"/>
        <v>1.1889119294577737E-2</v>
      </c>
      <c r="BG541" s="179">
        <f t="shared" si="548"/>
        <v>1.1494567069811364E-2</v>
      </c>
      <c r="BH541" s="179">
        <f t="shared" si="548"/>
        <v>1.0855785803917582E-2</v>
      </c>
    </row>
    <row r="542" spans="2:60" x14ac:dyDescent="0.25">
      <c r="C542" s="85"/>
      <c r="D542" s="85"/>
      <c r="E542" s="207" t="s">
        <v>3</v>
      </c>
      <c r="F542" s="207" t="s">
        <v>132</v>
      </c>
      <c r="G542" s="195" t="s">
        <v>7</v>
      </c>
      <c r="H542" s="274">
        <v>7268312</v>
      </c>
      <c r="I542" s="274">
        <v>7809306</v>
      </c>
      <c r="J542" s="274">
        <v>8296267</v>
      </c>
      <c r="K542" s="274">
        <v>8911815</v>
      </c>
      <c r="L542" s="274">
        <v>9364805</v>
      </c>
      <c r="M542" s="274">
        <v>9612746</v>
      </c>
      <c r="N542" s="274">
        <v>9737479</v>
      </c>
      <c r="O542" s="69">
        <v>9992636</v>
      </c>
      <c r="P542" s="69">
        <v>9939241</v>
      </c>
      <c r="R542" s="195" t="s">
        <v>7</v>
      </c>
      <c r="S542" s="226">
        <v>0.3</v>
      </c>
      <c r="T542" s="226">
        <v>0.3</v>
      </c>
      <c r="U542" s="226">
        <v>0.3</v>
      </c>
      <c r="V542" s="226">
        <v>0.3</v>
      </c>
      <c r="W542" s="226">
        <v>0.3</v>
      </c>
      <c r="X542" s="226">
        <v>0.4</v>
      </c>
      <c r="Y542" s="226">
        <v>0.3</v>
      </c>
      <c r="Z542" s="226">
        <v>0.3</v>
      </c>
      <c r="AA542" s="226">
        <v>0.3</v>
      </c>
      <c r="AC542" s="195" t="s">
        <v>7</v>
      </c>
      <c r="AD542" s="69">
        <f t="shared" si="545"/>
        <v>43609.872000000003</v>
      </c>
      <c r="AE542" s="69">
        <f t="shared" si="545"/>
        <v>46855.835999999996</v>
      </c>
      <c r="AF542" s="69">
        <f t="shared" si="545"/>
        <v>49777.601999999999</v>
      </c>
      <c r="AG542" s="69">
        <f t="shared" si="545"/>
        <v>53470.89</v>
      </c>
      <c r="AH542" s="69">
        <f t="shared" si="545"/>
        <v>56188.83</v>
      </c>
      <c r="AI542" s="69">
        <f t="shared" si="545"/>
        <v>76901.968000000008</v>
      </c>
      <c r="AJ542" s="69">
        <f t="shared" si="545"/>
        <v>58424.873999999996</v>
      </c>
      <c r="AK542" s="69">
        <f t="shared" si="545"/>
        <v>59955.815999999999</v>
      </c>
      <c r="AL542" s="69">
        <f t="shared" si="536"/>
        <v>59635.445999999996</v>
      </c>
      <c r="AN542" s="195" t="s">
        <v>7</v>
      </c>
      <c r="AO542" s="98">
        <f t="shared" ref="AO542:AW542" si="563">H542/H542</f>
        <v>1</v>
      </c>
      <c r="AP542" s="98">
        <f t="shared" si="563"/>
        <v>1</v>
      </c>
      <c r="AQ542" s="98">
        <f t="shared" si="563"/>
        <v>1</v>
      </c>
      <c r="AR542" s="98">
        <f t="shared" si="563"/>
        <v>1</v>
      </c>
      <c r="AS542" s="98">
        <f t="shared" si="563"/>
        <v>1</v>
      </c>
      <c r="AT542" s="98">
        <f t="shared" si="563"/>
        <v>1</v>
      </c>
      <c r="AU542" s="98">
        <f t="shared" si="563"/>
        <v>1</v>
      </c>
      <c r="AV542" s="98">
        <f t="shared" si="563"/>
        <v>1</v>
      </c>
      <c r="AW542" s="98">
        <f t="shared" si="563"/>
        <v>1</v>
      </c>
      <c r="AY542" s="195" t="s">
        <v>7</v>
      </c>
      <c r="AZ542" s="178">
        <f t="shared" si="548"/>
        <v>6.0000000000000001E-3</v>
      </c>
      <c r="BA542" s="178">
        <f t="shared" si="548"/>
        <v>6.0000000000000001E-3</v>
      </c>
      <c r="BB542" s="178">
        <f t="shared" si="548"/>
        <v>6.0000000000000001E-3</v>
      </c>
      <c r="BC542" s="178">
        <f t="shared" si="548"/>
        <v>6.0000000000000001E-3</v>
      </c>
      <c r="BD542" s="178">
        <f t="shared" si="548"/>
        <v>6.0000000000000001E-3</v>
      </c>
      <c r="BE542" s="178">
        <f t="shared" si="548"/>
        <v>8.0000000000000002E-3</v>
      </c>
      <c r="BF542" s="178">
        <f t="shared" si="548"/>
        <v>6.0000000000000001E-3</v>
      </c>
      <c r="BG542" s="178">
        <f t="shared" si="548"/>
        <v>6.0000000000000001E-3</v>
      </c>
      <c r="BH542" s="178">
        <f t="shared" si="548"/>
        <v>6.0000000000000001E-3</v>
      </c>
    </row>
    <row r="543" spans="2:60" x14ac:dyDescent="0.25">
      <c r="C543" s="108"/>
      <c r="D543" s="108"/>
      <c r="E543" s="110" t="s">
        <v>3</v>
      </c>
      <c r="F543" s="110" t="s">
        <v>132</v>
      </c>
      <c r="G543" s="111" t="s">
        <v>54</v>
      </c>
      <c r="H543" s="112">
        <v>1871488</v>
      </c>
      <c r="I543" s="112">
        <v>1802147</v>
      </c>
      <c r="J543" s="112">
        <v>1859171</v>
      </c>
      <c r="K543" s="112">
        <v>2063968</v>
      </c>
      <c r="L543" s="112">
        <v>2134545</v>
      </c>
      <c r="M543" s="112">
        <v>2145216</v>
      </c>
      <c r="N543" s="112">
        <v>2033526</v>
      </c>
      <c r="O543" s="112">
        <v>2034689</v>
      </c>
      <c r="P543" s="112">
        <v>1855789</v>
      </c>
      <c r="R543" s="111" t="s">
        <v>54</v>
      </c>
      <c r="S543" s="220">
        <v>1.5</v>
      </c>
      <c r="T543" s="220">
        <v>1.7</v>
      </c>
      <c r="U543" s="220">
        <v>1.7</v>
      </c>
      <c r="V543" s="220">
        <v>1.2</v>
      </c>
      <c r="W543" s="220">
        <v>1.8</v>
      </c>
      <c r="X543" s="220">
        <v>1.5</v>
      </c>
      <c r="Y543" s="220">
        <v>1.5</v>
      </c>
      <c r="Z543" s="220">
        <v>1.8</v>
      </c>
      <c r="AA543" s="220">
        <v>2.1</v>
      </c>
      <c r="AC543" s="111" t="s">
        <v>54</v>
      </c>
      <c r="AD543" s="112">
        <f t="shared" ref="AD543:AL563" si="564">2*(H543*S543/100)</f>
        <v>56144.639999999999</v>
      </c>
      <c r="AE543" s="112">
        <f t="shared" si="564"/>
        <v>61272.998</v>
      </c>
      <c r="AF543" s="112">
        <f t="shared" si="564"/>
        <v>63211.813999999991</v>
      </c>
      <c r="AG543" s="112">
        <f t="shared" si="564"/>
        <v>49535.232000000004</v>
      </c>
      <c r="AH543" s="112">
        <f t="shared" si="564"/>
        <v>76843.62</v>
      </c>
      <c r="AI543" s="112">
        <f t="shared" si="564"/>
        <v>64356.480000000003</v>
      </c>
      <c r="AJ543" s="112">
        <f t="shared" si="564"/>
        <v>61005.78</v>
      </c>
      <c r="AK543" s="112">
        <f t="shared" si="564"/>
        <v>73248.804000000004</v>
      </c>
      <c r="AL543" s="112">
        <f t="shared" si="536"/>
        <v>77943.138000000006</v>
      </c>
      <c r="AN543" s="111" t="s">
        <v>54</v>
      </c>
      <c r="AO543" s="113">
        <f t="shared" ref="AO543:AW543" si="565">H543/H542</f>
        <v>0.25748591970185097</v>
      </c>
      <c r="AP543" s="113">
        <f t="shared" si="565"/>
        <v>0.23076916181796436</v>
      </c>
      <c r="AQ543" s="113">
        <f t="shared" si="565"/>
        <v>0.22409729580786153</v>
      </c>
      <c r="AR543" s="113">
        <f t="shared" si="565"/>
        <v>0.23159906259274907</v>
      </c>
      <c r="AS543" s="113">
        <f t="shared" si="565"/>
        <v>0.22793266917997759</v>
      </c>
      <c r="AT543" s="113">
        <f t="shared" si="565"/>
        <v>0.22316370369091204</v>
      </c>
      <c r="AU543" s="113">
        <f t="shared" si="565"/>
        <v>0.20883495615240866</v>
      </c>
      <c r="AV543" s="113">
        <f t="shared" si="565"/>
        <v>0.20361884491739718</v>
      </c>
      <c r="AW543" s="113">
        <f t="shared" si="565"/>
        <v>0.18671335165331035</v>
      </c>
      <c r="AY543" s="111" t="s">
        <v>54</v>
      </c>
      <c r="AZ543" s="179">
        <f t="shared" si="548"/>
        <v>7.724577591055529E-3</v>
      </c>
      <c r="BA543" s="179">
        <f t="shared" si="548"/>
        <v>7.8461515018107882E-3</v>
      </c>
      <c r="BB543" s="179">
        <f t="shared" si="548"/>
        <v>7.6193080574672922E-3</v>
      </c>
      <c r="BC543" s="179">
        <f t="shared" si="548"/>
        <v>5.5583775022259776E-3</v>
      </c>
      <c r="BD543" s="179">
        <f t="shared" si="548"/>
        <v>8.2055760904791927E-3</v>
      </c>
      <c r="BE543" s="179">
        <f t="shared" si="548"/>
        <v>6.6949111107273617E-3</v>
      </c>
      <c r="BF543" s="179">
        <f t="shared" si="548"/>
        <v>6.2650486845722596E-3</v>
      </c>
      <c r="BG543" s="179">
        <f t="shared" si="548"/>
        <v>7.3302784170262989E-3</v>
      </c>
      <c r="BH543" s="179">
        <f t="shared" si="548"/>
        <v>7.8419607694390353E-3</v>
      </c>
    </row>
    <row r="544" spans="2:60" x14ac:dyDescent="0.25">
      <c r="C544" s="108"/>
      <c r="D544" s="108"/>
      <c r="E544" s="110" t="s">
        <v>3</v>
      </c>
      <c r="F544" s="110" t="s">
        <v>132</v>
      </c>
      <c r="G544" s="111" t="s">
        <v>55</v>
      </c>
      <c r="H544" s="70">
        <v>2539896</v>
      </c>
      <c r="I544" s="70">
        <v>2899718</v>
      </c>
      <c r="J544" s="70">
        <v>3087939</v>
      </c>
      <c r="K544" s="70">
        <v>3118240</v>
      </c>
      <c r="L544" s="70">
        <v>3241531</v>
      </c>
      <c r="M544" s="70">
        <v>3191535</v>
      </c>
      <c r="N544" s="70">
        <v>3170691</v>
      </c>
      <c r="O544" s="112">
        <v>3278363</v>
      </c>
      <c r="P544" s="112">
        <v>3062473</v>
      </c>
      <c r="R544" s="111" t="s">
        <v>55</v>
      </c>
      <c r="S544" s="81">
        <v>1.2</v>
      </c>
      <c r="T544" s="81">
        <v>1.4</v>
      </c>
      <c r="U544" s="81">
        <v>1.1000000000000001</v>
      </c>
      <c r="V544" s="81">
        <v>1.2</v>
      </c>
      <c r="W544" s="81">
        <v>1.4</v>
      </c>
      <c r="X544" s="81">
        <v>1.1000000000000001</v>
      </c>
      <c r="Y544" s="81">
        <v>1.2</v>
      </c>
      <c r="Z544" s="81">
        <v>1.4</v>
      </c>
      <c r="AA544" s="81">
        <v>1.4</v>
      </c>
      <c r="AC544" s="111" t="s">
        <v>55</v>
      </c>
      <c r="AD544" s="70">
        <f t="shared" si="564"/>
        <v>60957.503999999994</v>
      </c>
      <c r="AE544" s="70">
        <f t="shared" si="564"/>
        <v>81192.103999999992</v>
      </c>
      <c r="AF544" s="70">
        <f t="shared" si="564"/>
        <v>67934.65800000001</v>
      </c>
      <c r="AG544" s="70">
        <f t="shared" si="564"/>
        <v>74837.759999999995</v>
      </c>
      <c r="AH544" s="70">
        <f t="shared" si="564"/>
        <v>90762.867999999988</v>
      </c>
      <c r="AI544" s="70">
        <f t="shared" si="564"/>
        <v>70213.77</v>
      </c>
      <c r="AJ544" s="70">
        <f t="shared" si="564"/>
        <v>76096.583999999988</v>
      </c>
      <c r="AK544" s="70">
        <f t="shared" si="564"/>
        <v>91794.16399999999</v>
      </c>
      <c r="AL544" s="70">
        <f t="shared" si="536"/>
        <v>85749.244000000006</v>
      </c>
      <c r="AN544" s="111" t="s">
        <v>55</v>
      </c>
      <c r="AO544" s="113">
        <f t="shared" ref="AO544:AW544" si="566">H544/H542</f>
        <v>0.34944784978960725</v>
      </c>
      <c r="AP544" s="113">
        <f t="shared" si="566"/>
        <v>0.37131570974424616</v>
      </c>
      <c r="AQ544" s="113">
        <f t="shared" si="566"/>
        <v>0.37220824739608788</v>
      </c>
      <c r="AR544" s="113">
        <f t="shared" si="566"/>
        <v>0.34989954347122332</v>
      </c>
      <c r="AS544" s="113">
        <f t="shared" si="566"/>
        <v>0.34613972207643406</v>
      </c>
      <c r="AT544" s="113">
        <f t="shared" si="566"/>
        <v>0.33201074906171452</v>
      </c>
      <c r="AU544" s="113">
        <f t="shared" si="566"/>
        <v>0.32561723624769817</v>
      </c>
      <c r="AV544" s="113">
        <f t="shared" si="566"/>
        <v>0.32807789656302899</v>
      </c>
      <c r="AW544" s="113">
        <f t="shared" si="566"/>
        <v>0.30811940267873572</v>
      </c>
      <c r="AY544" s="111" t="s">
        <v>55</v>
      </c>
      <c r="AZ544" s="179">
        <f t="shared" si="548"/>
        <v>8.3867483949505734E-3</v>
      </c>
      <c r="BA544" s="179">
        <f t="shared" si="548"/>
        <v>1.0396839872838893E-2</v>
      </c>
      <c r="BB544" s="179">
        <f t="shared" si="548"/>
        <v>8.1885814427139336E-3</v>
      </c>
      <c r="BC544" s="179">
        <f t="shared" si="548"/>
        <v>8.39758904330936E-3</v>
      </c>
      <c r="BD544" s="179">
        <f t="shared" si="548"/>
        <v>9.6919122181401522E-3</v>
      </c>
      <c r="BE544" s="179">
        <f t="shared" si="548"/>
        <v>7.3042364793577197E-3</v>
      </c>
      <c r="BF544" s="179">
        <f t="shared" si="548"/>
        <v>7.8148136699447562E-3</v>
      </c>
      <c r="BG544" s="179">
        <f t="shared" si="548"/>
        <v>9.1861811037648108E-3</v>
      </c>
      <c r="BH544" s="179">
        <f t="shared" si="548"/>
        <v>8.6273432750045998E-3</v>
      </c>
    </row>
    <row r="545" spans="2:68" x14ac:dyDescent="0.25">
      <c r="C545" s="108"/>
      <c r="D545" s="108"/>
      <c r="E545" s="110" t="s">
        <v>3</v>
      </c>
      <c r="F545" s="110" t="s">
        <v>132</v>
      </c>
      <c r="G545" s="111" t="s">
        <v>130</v>
      </c>
      <c r="H545" s="70">
        <v>791347</v>
      </c>
      <c r="I545" s="70">
        <v>952829</v>
      </c>
      <c r="J545" s="70">
        <v>979028</v>
      </c>
      <c r="K545" s="70">
        <v>968708</v>
      </c>
      <c r="L545" s="70">
        <v>1098658</v>
      </c>
      <c r="M545" s="70">
        <v>1193224</v>
      </c>
      <c r="N545" s="70">
        <v>1235563</v>
      </c>
      <c r="O545" s="112">
        <v>1321941</v>
      </c>
      <c r="P545" s="112">
        <v>1318849</v>
      </c>
      <c r="R545" s="111" t="s">
        <v>130</v>
      </c>
      <c r="S545" s="220">
        <v>2.2999999999999998</v>
      </c>
      <c r="T545" s="220">
        <v>2.5</v>
      </c>
      <c r="U545" s="220">
        <v>2.6</v>
      </c>
      <c r="V545" s="220">
        <v>2.8</v>
      </c>
      <c r="W545" s="220">
        <v>2.7</v>
      </c>
      <c r="X545" s="220">
        <v>2.2999999999999998</v>
      </c>
      <c r="Y545" s="220">
        <v>2.4</v>
      </c>
      <c r="Z545" s="220">
        <v>2.7</v>
      </c>
      <c r="AA545" s="220">
        <v>2.7</v>
      </c>
      <c r="AC545" s="111" t="s">
        <v>130</v>
      </c>
      <c r="AD545" s="70">
        <f t="shared" si="564"/>
        <v>36401.962</v>
      </c>
      <c r="AE545" s="70">
        <f t="shared" si="564"/>
        <v>47641.45</v>
      </c>
      <c r="AF545" s="70">
        <f t="shared" si="564"/>
        <v>50909.456000000006</v>
      </c>
      <c r="AG545" s="70">
        <f t="shared" si="564"/>
        <v>54247.648000000001</v>
      </c>
      <c r="AH545" s="70">
        <f t="shared" si="564"/>
        <v>59327.531999999999</v>
      </c>
      <c r="AI545" s="70">
        <f t="shared" si="564"/>
        <v>54888.303999999996</v>
      </c>
      <c r="AJ545" s="70">
        <f t="shared" si="564"/>
        <v>59307.023999999998</v>
      </c>
      <c r="AK545" s="70">
        <f t="shared" si="564"/>
        <v>71384.813999999998</v>
      </c>
      <c r="AL545" s="70">
        <f t="shared" si="536"/>
        <v>71217.846000000005</v>
      </c>
      <c r="AN545" s="111" t="s">
        <v>130</v>
      </c>
      <c r="AO545" s="113">
        <f t="shared" ref="AO545:AW545" si="567">H545/H542</f>
        <v>0.10887631130859544</v>
      </c>
      <c r="AP545" s="113">
        <f t="shared" si="567"/>
        <v>0.12201199440769769</v>
      </c>
      <c r="AQ545" s="113">
        <f t="shared" si="567"/>
        <v>0.11800825600236829</v>
      </c>
      <c r="AR545" s="113">
        <f t="shared" si="567"/>
        <v>0.1086992941392971</v>
      </c>
      <c r="AS545" s="113">
        <f t="shared" si="567"/>
        <v>0.11731776582641069</v>
      </c>
      <c r="AT545" s="113">
        <f t="shared" si="567"/>
        <v>0.12412935908220191</v>
      </c>
      <c r="AU545" s="113">
        <f t="shared" si="567"/>
        <v>0.12688735965438283</v>
      </c>
      <c r="AV545" s="113">
        <f t="shared" si="567"/>
        <v>0.13229151947494136</v>
      </c>
      <c r="AW545" s="113">
        <f t="shared" si="567"/>
        <v>0.13269111796363525</v>
      </c>
      <c r="AY545" s="111" t="s">
        <v>130</v>
      </c>
      <c r="AZ545" s="179">
        <f t="shared" si="548"/>
        <v>5.0083103201953904E-3</v>
      </c>
      <c r="BA545" s="179">
        <f t="shared" si="548"/>
        <v>6.1005997203848854E-3</v>
      </c>
      <c r="BB545" s="179">
        <f t="shared" si="548"/>
        <v>6.1364293121231516E-3</v>
      </c>
      <c r="BC545" s="179">
        <f t="shared" si="548"/>
        <v>6.0871604718006379E-3</v>
      </c>
      <c r="BD545" s="179">
        <f t="shared" si="548"/>
        <v>6.3351593546261773E-3</v>
      </c>
      <c r="BE545" s="179">
        <f t="shared" si="548"/>
        <v>5.7099505177812867E-3</v>
      </c>
      <c r="BF545" s="179">
        <f t="shared" si="548"/>
        <v>6.0905932634103752E-3</v>
      </c>
      <c r="BG545" s="179">
        <f t="shared" si="548"/>
        <v>7.1437420516468342E-3</v>
      </c>
      <c r="BH545" s="179">
        <f t="shared" si="548"/>
        <v>7.1653203700363047E-3</v>
      </c>
    </row>
    <row r="546" spans="2:68" x14ac:dyDescent="0.25">
      <c r="C546" s="108"/>
      <c r="D546" s="108"/>
      <c r="E546" s="110" t="s">
        <v>3</v>
      </c>
      <c r="F546" s="110" t="s">
        <v>132</v>
      </c>
      <c r="G546" s="111" t="s">
        <v>131</v>
      </c>
      <c r="H546" s="112">
        <v>2063408</v>
      </c>
      <c r="I546" s="112">
        <v>2153322</v>
      </c>
      <c r="J546" s="112">
        <v>2367526</v>
      </c>
      <c r="K546" s="112">
        <v>2757771</v>
      </c>
      <c r="L546" s="112">
        <v>2890397</v>
      </c>
      <c r="M546" s="112">
        <v>3083615</v>
      </c>
      <c r="N546" s="112">
        <v>3298653</v>
      </c>
      <c r="O546" s="112">
        <v>3357643</v>
      </c>
      <c r="P546" s="112">
        <v>3702130</v>
      </c>
      <c r="R546" s="111" t="s">
        <v>131</v>
      </c>
      <c r="S546" s="220">
        <v>1.3</v>
      </c>
      <c r="T546" s="220">
        <v>1.4</v>
      </c>
      <c r="U546" s="220">
        <v>1.5</v>
      </c>
      <c r="V546" s="220">
        <v>1.2</v>
      </c>
      <c r="W546" s="220">
        <v>1.4</v>
      </c>
      <c r="X546" s="220">
        <v>1.9</v>
      </c>
      <c r="Y546" s="220">
        <v>1.2</v>
      </c>
      <c r="Z546" s="220">
        <v>1.4</v>
      </c>
      <c r="AA546" s="220">
        <v>1.3</v>
      </c>
      <c r="AC546" s="111" t="s">
        <v>131</v>
      </c>
      <c r="AD546" s="112">
        <f t="shared" si="564"/>
        <v>53648.608</v>
      </c>
      <c r="AE546" s="112">
        <f t="shared" si="564"/>
        <v>60293.015999999996</v>
      </c>
      <c r="AF546" s="112">
        <f t="shared" si="564"/>
        <v>71025.78</v>
      </c>
      <c r="AG546" s="112">
        <f t="shared" si="564"/>
        <v>66186.504000000001</v>
      </c>
      <c r="AH546" s="112">
        <f t="shared" si="564"/>
        <v>80931.115999999995</v>
      </c>
      <c r="AI546" s="112">
        <f t="shared" si="564"/>
        <v>117177.37</v>
      </c>
      <c r="AJ546" s="112">
        <f t="shared" si="564"/>
        <v>79167.671999999991</v>
      </c>
      <c r="AK546" s="112">
        <f t="shared" si="564"/>
        <v>94014.003999999986</v>
      </c>
      <c r="AL546" s="112">
        <f t="shared" si="536"/>
        <v>96255.38</v>
      </c>
      <c r="AN546" s="111" t="s">
        <v>131</v>
      </c>
      <c r="AO546" s="113">
        <f t="shared" ref="AO546:AW546" si="568">H546/H542</f>
        <v>0.28389095019586391</v>
      </c>
      <c r="AP546" s="113">
        <f t="shared" si="568"/>
        <v>0.27573794649614192</v>
      </c>
      <c r="AQ546" s="113">
        <f t="shared" si="568"/>
        <v>0.28537244522144717</v>
      </c>
      <c r="AR546" s="113">
        <f t="shared" si="568"/>
        <v>0.30945110507792184</v>
      </c>
      <c r="AS546" s="113">
        <f t="shared" si="568"/>
        <v>0.30864465410651903</v>
      </c>
      <c r="AT546" s="113">
        <f t="shared" si="568"/>
        <v>0.32078398825892207</v>
      </c>
      <c r="AU546" s="113">
        <f t="shared" si="568"/>
        <v>0.33875841991546274</v>
      </c>
      <c r="AV546" s="113">
        <f t="shared" si="568"/>
        <v>0.33601173904463244</v>
      </c>
      <c r="AW546" s="113">
        <f t="shared" si="568"/>
        <v>0.37247612770431865</v>
      </c>
      <c r="AY546" s="111" t="s">
        <v>131</v>
      </c>
      <c r="AZ546" s="179">
        <f t="shared" si="548"/>
        <v>7.3811647050924627E-3</v>
      </c>
      <c r="BA546" s="179">
        <f t="shared" si="548"/>
        <v>7.720662501891973E-3</v>
      </c>
      <c r="BB546" s="179">
        <f t="shared" si="548"/>
        <v>8.5611733566434145E-3</v>
      </c>
      <c r="BC546" s="179">
        <f t="shared" si="548"/>
        <v>7.4268265218701236E-3</v>
      </c>
      <c r="BD546" s="179">
        <f t="shared" si="548"/>
        <v>8.6420503149825315E-3</v>
      </c>
      <c r="BE546" s="179">
        <f t="shared" si="548"/>
        <v>1.2189791553839037E-2</v>
      </c>
      <c r="BF546" s="179">
        <f t="shared" si="548"/>
        <v>8.1302020779711066E-3</v>
      </c>
      <c r="BG546" s="179">
        <f t="shared" si="548"/>
        <v>9.4083286932497082E-3</v>
      </c>
      <c r="BH546" s="179">
        <f t="shared" si="548"/>
        <v>9.6843793203122853E-3</v>
      </c>
    </row>
    <row r="547" spans="2:68" x14ac:dyDescent="0.25">
      <c r="C547" s="85"/>
      <c r="D547" s="85"/>
      <c r="E547" s="207" t="s">
        <v>45</v>
      </c>
      <c r="F547" s="207" t="s">
        <v>132</v>
      </c>
      <c r="G547" s="195" t="s">
        <v>7</v>
      </c>
      <c r="H547" s="274">
        <v>3636288</v>
      </c>
      <c r="I547" s="274">
        <v>3745091</v>
      </c>
      <c r="J547" s="274">
        <v>3894996</v>
      </c>
      <c r="K547" s="274">
        <v>4149444</v>
      </c>
      <c r="L547" s="274">
        <v>4418971</v>
      </c>
      <c r="M547" s="274">
        <v>4729131</v>
      </c>
      <c r="N547" s="274">
        <v>5137726</v>
      </c>
      <c r="O547" s="69">
        <v>5556756</v>
      </c>
      <c r="P547" s="69">
        <v>5970295</v>
      </c>
      <c r="R547" s="195" t="s">
        <v>7</v>
      </c>
      <c r="S547" s="226">
        <v>0.4</v>
      </c>
      <c r="T547" s="226">
        <v>0.3</v>
      </c>
      <c r="U547" s="226">
        <v>0.3</v>
      </c>
      <c r="V547" s="226">
        <v>0.3</v>
      </c>
      <c r="W547" s="226">
        <v>0.3</v>
      </c>
      <c r="X547" s="226">
        <v>0.3</v>
      </c>
      <c r="Y547" s="226">
        <v>0.3</v>
      </c>
      <c r="Z547" s="226">
        <v>0.4</v>
      </c>
      <c r="AA547" s="226">
        <v>0.4</v>
      </c>
      <c r="AC547" s="195" t="s">
        <v>7</v>
      </c>
      <c r="AD547" s="69">
        <f t="shared" si="564"/>
        <v>29090.304000000004</v>
      </c>
      <c r="AE547" s="69">
        <f t="shared" si="564"/>
        <v>22470.546000000002</v>
      </c>
      <c r="AF547" s="69">
        <f t="shared" si="564"/>
        <v>23369.976000000002</v>
      </c>
      <c r="AG547" s="69">
        <f t="shared" si="564"/>
        <v>24896.664000000001</v>
      </c>
      <c r="AH547" s="69">
        <f t="shared" si="564"/>
        <v>26513.826000000001</v>
      </c>
      <c r="AI547" s="69">
        <f t="shared" si="564"/>
        <v>28374.786</v>
      </c>
      <c r="AJ547" s="69">
        <f t="shared" si="564"/>
        <v>30826.356</v>
      </c>
      <c r="AK547" s="69">
        <f>2*(P547*Z547/100)</f>
        <v>47762.36</v>
      </c>
      <c r="AL547" s="69">
        <f t="shared" si="536"/>
        <v>47762.36</v>
      </c>
      <c r="AN547" s="195" t="s">
        <v>7</v>
      </c>
      <c r="AO547" s="98">
        <f t="shared" ref="AO547:AW547" si="569">H547/H547</f>
        <v>1</v>
      </c>
      <c r="AP547" s="98">
        <f t="shared" si="569"/>
        <v>1</v>
      </c>
      <c r="AQ547" s="98">
        <f t="shared" si="569"/>
        <v>1</v>
      </c>
      <c r="AR547" s="98">
        <f t="shared" si="569"/>
        <v>1</v>
      </c>
      <c r="AS547" s="98">
        <f t="shared" si="569"/>
        <v>1</v>
      </c>
      <c r="AT547" s="98">
        <f t="shared" si="569"/>
        <v>1</v>
      </c>
      <c r="AU547" s="98">
        <f t="shared" si="569"/>
        <v>1</v>
      </c>
      <c r="AV547" s="98">
        <f t="shared" si="569"/>
        <v>1</v>
      </c>
      <c r="AW547" s="98">
        <f t="shared" si="569"/>
        <v>1</v>
      </c>
      <c r="AY547" s="195" t="s">
        <v>7</v>
      </c>
      <c r="AZ547" s="178">
        <f t="shared" si="548"/>
        <v>8.0000000000000002E-3</v>
      </c>
      <c r="BA547" s="178">
        <f t="shared" si="548"/>
        <v>6.0000000000000001E-3</v>
      </c>
      <c r="BB547" s="178">
        <f t="shared" si="548"/>
        <v>6.0000000000000001E-3</v>
      </c>
      <c r="BC547" s="178">
        <f t="shared" si="548"/>
        <v>6.0000000000000001E-3</v>
      </c>
      <c r="BD547" s="178">
        <f t="shared" si="548"/>
        <v>6.0000000000000001E-3</v>
      </c>
      <c r="BE547" s="178">
        <f t="shared" si="548"/>
        <v>6.0000000000000001E-3</v>
      </c>
      <c r="BF547" s="178">
        <f t="shared" si="548"/>
        <v>6.0000000000000001E-3</v>
      </c>
      <c r="BG547" s="178">
        <f t="shared" si="548"/>
        <v>8.0000000000000002E-3</v>
      </c>
      <c r="BH547" s="178">
        <f t="shared" si="548"/>
        <v>8.0000000000000002E-3</v>
      </c>
    </row>
    <row r="548" spans="2:68" x14ac:dyDescent="0.25">
      <c r="C548" s="108"/>
      <c r="D548" s="108"/>
      <c r="E548" s="110" t="s">
        <v>45</v>
      </c>
      <c r="F548" s="110" t="s">
        <v>132</v>
      </c>
      <c r="G548" s="111" t="s">
        <v>54</v>
      </c>
      <c r="H548" s="112">
        <v>440379</v>
      </c>
      <c r="I548" s="112">
        <v>409633</v>
      </c>
      <c r="J548" s="112">
        <v>414111</v>
      </c>
      <c r="K548" s="112">
        <v>441723</v>
      </c>
      <c r="L548" s="112">
        <v>450779</v>
      </c>
      <c r="M548" s="112">
        <v>455274</v>
      </c>
      <c r="N548" s="112">
        <v>499742</v>
      </c>
      <c r="O548" s="112">
        <v>535819</v>
      </c>
      <c r="P548" s="112">
        <v>582342</v>
      </c>
      <c r="R548" s="111" t="s">
        <v>54</v>
      </c>
      <c r="S548" s="220">
        <v>2.9</v>
      </c>
      <c r="T548" s="220">
        <v>2.7</v>
      </c>
      <c r="U548" s="220">
        <v>2.6</v>
      </c>
      <c r="V548" s="220">
        <v>2.9</v>
      </c>
      <c r="W548" s="220">
        <v>2.7</v>
      </c>
      <c r="X548" s="220">
        <v>2.5</v>
      </c>
      <c r="Y548" s="220">
        <v>2.8</v>
      </c>
      <c r="Z548" s="220">
        <v>3.8</v>
      </c>
      <c r="AA548" s="220">
        <v>3.8</v>
      </c>
      <c r="AC548" s="111" t="s">
        <v>54</v>
      </c>
      <c r="AD548" s="112">
        <f t="shared" si="564"/>
        <v>25541.981999999996</v>
      </c>
      <c r="AE548" s="112">
        <f t="shared" si="564"/>
        <v>22120.182000000001</v>
      </c>
      <c r="AF548" s="112">
        <f t="shared" si="564"/>
        <v>21533.772000000001</v>
      </c>
      <c r="AG548" s="112">
        <f t="shared" si="564"/>
        <v>25619.933999999997</v>
      </c>
      <c r="AH548" s="112">
        <f t="shared" si="564"/>
        <v>24342.066000000003</v>
      </c>
      <c r="AI548" s="112">
        <f t="shared" si="564"/>
        <v>22763.7</v>
      </c>
      <c r="AJ548" s="112">
        <f t="shared" si="564"/>
        <v>27985.551999999996</v>
      </c>
      <c r="AK548" s="112">
        <f>2*(P548*Z548/100)</f>
        <v>44257.991999999998</v>
      </c>
      <c r="AL548" s="112">
        <f t="shared" si="536"/>
        <v>44257.991999999998</v>
      </c>
      <c r="AN548" s="111" t="s">
        <v>54</v>
      </c>
      <c r="AO548" s="113">
        <f t="shared" ref="AO548:AW548" si="570">H548/H547</f>
        <v>0.12110674402027562</v>
      </c>
      <c r="AP548" s="113">
        <f t="shared" si="570"/>
        <v>0.10937865061222811</v>
      </c>
      <c r="AQ548" s="113">
        <f t="shared" si="570"/>
        <v>0.10631872279201314</v>
      </c>
      <c r="AR548" s="113">
        <f t="shared" si="570"/>
        <v>0.10645353931755676</v>
      </c>
      <c r="AS548" s="113">
        <f t="shared" si="570"/>
        <v>0.10200994756471586</v>
      </c>
      <c r="AT548" s="113">
        <f t="shared" si="570"/>
        <v>9.6270118125296164E-2</v>
      </c>
      <c r="AU548" s="113">
        <f t="shared" si="570"/>
        <v>9.7269103101255305E-2</v>
      </c>
      <c r="AV548" s="113">
        <f t="shared" si="570"/>
        <v>9.642658414369823E-2</v>
      </c>
      <c r="AW548" s="113">
        <f t="shared" si="570"/>
        <v>9.7539903807098316E-2</v>
      </c>
      <c r="AY548" s="111" t="s">
        <v>54</v>
      </c>
      <c r="AZ548" s="179">
        <f t="shared" si="548"/>
        <v>7.0241911531759857E-3</v>
      </c>
      <c r="BA548" s="179">
        <f t="shared" si="548"/>
        <v>5.9064471330603184E-3</v>
      </c>
      <c r="BB548" s="179">
        <f t="shared" si="548"/>
        <v>5.5285735851846839E-3</v>
      </c>
      <c r="BC548" s="179">
        <f t="shared" si="548"/>
        <v>6.1743052804182916E-3</v>
      </c>
      <c r="BD548" s="179">
        <f t="shared" si="548"/>
        <v>5.5085371684946574E-3</v>
      </c>
      <c r="BE548" s="179">
        <f t="shared" si="548"/>
        <v>4.813505906264808E-3</v>
      </c>
      <c r="BF548" s="179">
        <f t="shared" si="548"/>
        <v>5.4470697736702968E-3</v>
      </c>
      <c r="BG548" s="179">
        <f t="shared" si="548"/>
        <v>7.328420394921065E-3</v>
      </c>
      <c r="BH548" s="179">
        <f t="shared" si="548"/>
        <v>7.4130326893394717E-3</v>
      </c>
    </row>
    <row r="549" spans="2:68" x14ac:dyDescent="0.25">
      <c r="C549" s="108"/>
      <c r="D549" s="108"/>
      <c r="E549" s="110" t="s">
        <v>45</v>
      </c>
      <c r="F549" s="110" t="s">
        <v>132</v>
      </c>
      <c r="G549" s="111" t="s">
        <v>55</v>
      </c>
      <c r="H549" s="70">
        <v>1527684</v>
      </c>
      <c r="I549" s="70">
        <v>1615144</v>
      </c>
      <c r="J549" s="70">
        <v>1675777</v>
      </c>
      <c r="K549" s="70">
        <v>1810035</v>
      </c>
      <c r="L549" s="70">
        <v>1920259</v>
      </c>
      <c r="M549" s="70">
        <v>2078650</v>
      </c>
      <c r="N549" s="70">
        <v>2255185</v>
      </c>
      <c r="O549" s="112">
        <v>2358276</v>
      </c>
      <c r="P549" s="112">
        <v>2563189</v>
      </c>
      <c r="R549" s="111" t="s">
        <v>55</v>
      </c>
      <c r="S549" s="81">
        <v>1.2</v>
      </c>
      <c r="T549" s="81">
        <v>1.2</v>
      </c>
      <c r="U549" s="81">
        <v>1.1000000000000001</v>
      </c>
      <c r="V549" s="81">
        <v>1.2</v>
      </c>
      <c r="W549" s="81">
        <v>1</v>
      </c>
      <c r="X549" s="81">
        <v>1</v>
      </c>
      <c r="Y549" s="81">
        <v>1.1000000000000001</v>
      </c>
      <c r="Z549" s="81">
        <v>1.6</v>
      </c>
      <c r="AA549" s="81">
        <v>1.3</v>
      </c>
      <c r="AC549" s="111" t="s">
        <v>55</v>
      </c>
      <c r="AD549" s="70">
        <f t="shared" si="564"/>
        <v>36664.415999999997</v>
      </c>
      <c r="AE549" s="70">
        <f t="shared" si="564"/>
        <v>38763.455999999998</v>
      </c>
      <c r="AF549" s="70">
        <f t="shared" si="564"/>
        <v>36867.094000000005</v>
      </c>
      <c r="AG549" s="70">
        <f t="shared" si="564"/>
        <v>43440.84</v>
      </c>
      <c r="AH549" s="70">
        <f t="shared" si="564"/>
        <v>38405.18</v>
      </c>
      <c r="AI549" s="70">
        <f t="shared" si="564"/>
        <v>41573</v>
      </c>
      <c r="AJ549" s="70">
        <f t="shared" si="564"/>
        <v>49614.07</v>
      </c>
      <c r="AK549" s="70">
        <f>2*(P549*Z549/100)</f>
        <v>82022.04800000001</v>
      </c>
      <c r="AL549" s="70">
        <f t="shared" si="536"/>
        <v>66642.914000000004</v>
      </c>
      <c r="AN549" s="111" t="s">
        <v>55</v>
      </c>
      <c r="AO549" s="113">
        <f t="shared" ref="AO549:AW549" si="571">H549/H547</f>
        <v>0.42012183853424151</v>
      </c>
      <c r="AP549" s="113">
        <f t="shared" si="571"/>
        <v>0.43126962736018964</v>
      </c>
      <c r="AQ549" s="113">
        <f t="shared" si="571"/>
        <v>0.43023843926925726</v>
      </c>
      <c r="AR549" s="113">
        <f t="shared" si="571"/>
        <v>0.43621145387189225</v>
      </c>
      <c r="AS549" s="113">
        <f t="shared" si="571"/>
        <v>0.43454890290069792</v>
      </c>
      <c r="AT549" s="113">
        <f t="shared" si="571"/>
        <v>0.43954164094841103</v>
      </c>
      <c r="AU549" s="113">
        <f t="shared" si="571"/>
        <v>0.43894614076344279</v>
      </c>
      <c r="AV549" s="113">
        <f t="shared" si="571"/>
        <v>0.42439797608532748</v>
      </c>
      <c r="AW549" s="113">
        <f t="shared" si="571"/>
        <v>0.42932367663574411</v>
      </c>
      <c r="AY549" s="111" t="s">
        <v>55</v>
      </c>
      <c r="AZ549" s="179">
        <f t="shared" si="548"/>
        <v>1.0082924124821795E-2</v>
      </c>
      <c r="BA549" s="179">
        <f t="shared" si="548"/>
        <v>1.035047105664455E-2</v>
      </c>
      <c r="BB549" s="179">
        <f t="shared" si="548"/>
        <v>9.4652456639236597E-3</v>
      </c>
      <c r="BC549" s="179">
        <f t="shared" si="548"/>
        <v>1.0469074892925414E-2</v>
      </c>
      <c r="BD549" s="179">
        <f t="shared" si="548"/>
        <v>8.6909780580139585E-3</v>
      </c>
      <c r="BE549" s="179">
        <f t="shared" si="548"/>
        <v>8.7908328189682198E-3</v>
      </c>
      <c r="BF549" s="179">
        <f t="shared" si="548"/>
        <v>9.6568150967957424E-3</v>
      </c>
      <c r="BG549" s="179">
        <f t="shared" si="548"/>
        <v>1.3580735234730482E-2</v>
      </c>
      <c r="BH549" s="179">
        <f t="shared" si="548"/>
        <v>1.1162415592529347E-2</v>
      </c>
    </row>
    <row r="550" spans="2:68" x14ac:dyDescent="0.25">
      <c r="C550" s="108"/>
      <c r="D550" s="108"/>
      <c r="E550" s="110" t="s">
        <v>45</v>
      </c>
      <c r="F550" s="110" t="s">
        <v>132</v>
      </c>
      <c r="G550" s="111" t="s">
        <v>130</v>
      </c>
      <c r="H550" s="70">
        <v>353197</v>
      </c>
      <c r="I550" s="70">
        <v>405964</v>
      </c>
      <c r="J550" s="70">
        <v>423507</v>
      </c>
      <c r="K550" s="70">
        <v>405572</v>
      </c>
      <c r="L550" s="70">
        <v>456678</v>
      </c>
      <c r="M550" s="70">
        <v>519524</v>
      </c>
      <c r="N550" s="70">
        <v>574858</v>
      </c>
      <c r="O550" s="112">
        <v>655566</v>
      </c>
      <c r="P550" s="112">
        <v>684014</v>
      </c>
      <c r="R550" s="111" t="s">
        <v>130</v>
      </c>
      <c r="S550" s="220">
        <v>3.2</v>
      </c>
      <c r="T550" s="220">
        <v>2.7</v>
      </c>
      <c r="U550" s="220">
        <v>2.6</v>
      </c>
      <c r="V550" s="220">
        <v>2.9</v>
      </c>
      <c r="W550" s="220">
        <v>2.7</v>
      </c>
      <c r="X550" s="220">
        <v>2.1</v>
      </c>
      <c r="Y550" s="220">
        <v>2.7</v>
      </c>
      <c r="Z550" s="220">
        <v>3.8</v>
      </c>
      <c r="AA550" s="220">
        <v>3.8</v>
      </c>
      <c r="AC550" s="111" t="s">
        <v>130</v>
      </c>
      <c r="AD550" s="70">
        <f t="shared" si="564"/>
        <v>22604.608000000004</v>
      </c>
      <c r="AE550" s="70">
        <f t="shared" si="564"/>
        <v>21922.056</v>
      </c>
      <c r="AF550" s="70">
        <f t="shared" si="564"/>
        <v>22022.363999999998</v>
      </c>
      <c r="AG550" s="70">
        <f t="shared" si="564"/>
        <v>23523.175999999999</v>
      </c>
      <c r="AH550" s="70">
        <f t="shared" si="564"/>
        <v>24660.612000000001</v>
      </c>
      <c r="AI550" s="70">
        <f t="shared" si="564"/>
        <v>21820.008000000002</v>
      </c>
      <c r="AJ550" s="70">
        <f t="shared" si="564"/>
        <v>31042.332000000002</v>
      </c>
      <c r="AK550" s="70">
        <f>2*(P550*Z550/100)</f>
        <v>51985.063999999991</v>
      </c>
      <c r="AL550" s="70">
        <f t="shared" si="536"/>
        <v>51985.063999999991</v>
      </c>
      <c r="AN550" s="111" t="s">
        <v>130</v>
      </c>
      <c r="AO550" s="113">
        <f t="shared" ref="AO550:AW550" si="572">H550/H547</f>
        <v>9.7131195328862843E-2</v>
      </c>
      <c r="AP550" s="113">
        <f t="shared" si="572"/>
        <v>0.10839896814256315</v>
      </c>
      <c r="AQ550" s="113">
        <f t="shared" si="572"/>
        <v>0.10873104876102568</v>
      </c>
      <c r="AR550" s="113">
        <f t="shared" si="572"/>
        <v>9.7741287748430869E-2</v>
      </c>
      <c r="AS550" s="113">
        <f t="shared" si="572"/>
        <v>0.10334487372739039</v>
      </c>
      <c r="AT550" s="113">
        <f t="shared" si="572"/>
        <v>0.10985612367261555</v>
      </c>
      <c r="AU550" s="113">
        <f t="shared" si="572"/>
        <v>0.11188957916401147</v>
      </c>
      <c r="AV550" s="113">
        <f t="shared" si="572"/>
        <v>0.11797638766215396</v>
      </c>
      <c r="AW550" s="113">
        <f t="shared" si="572"/>
        <v>0.11456954807090772</v>
      </c>
      <c r="AY550" s="111" t="s">
        <v>130</v>
      </c>
      <c r="AZ550" s="179">
        <f t="shared" si="548"/>
        <v>6.2163965010472218E-3</v>
      </c>
      <c r="BA550" s="179">
        <f t="shared" si="548"/>
        <v>5.8535442796984107E-3</v>
      </c>
      <c r="BB550" s="179">
        <f t="shared" si="548"/>
        <v>5.6540145355733363E-3</v>
      </c>
      <c r="BC550" s="179">
        <f t="shared" si="548"/>
        <v>5.6689946894089901E-3</v>
      </c>
      <c r="BD550" s="179">
        <f t="shared" si="548"/>
        <v>5.5806231812790819E-3</v>
      </c>
      <c r="BE550" s="179">
        <f t="shared" si="548"/>
        <v>4.6139571942498533E-3</v>
      </c>
      <c r="BF550" s="179">
        <f t="shared" si="548"/>
        <v>6.0420372748566202E-3</v>
      </c>
      <c r="BG550" s="179">
        <f t="shared" si="548"/>
        <v>8.9662054623237016E-3</v>
      </c>
      <c r="BH550" s="179">
        <f t="shared" si="548"/>
        <v>8.7072856533889856E-3</v>
      </c>
    </row>
    <row r="551" spans="2:68" x14ac:dyDescent="0.25">
      <c r="C551" s="108"/>
      <c r="D551" s="108"/>
      <c r="E551" s="110" t="s">
        <v>45</v>
      </c>
      <c r="F551" s="110" t="s">
        <v>132</v>
      </c>
      <c r="G551" s="111" t="s">
        <v>131</v>
      </c>
      <c r="H551" s="112">
        <v>1314092</v>
      </c>
      <c r="I551" s="112">
        <v>1309940</v>
      </c>
      <c r="J551" s="112">
        <v>1376189</v>
      </c>
      <c r="K551" s="112">
        <v>1484254</v>
      </c>
      <c r="L551" s="112">
        <v>1591626</v>
      </c>
      <c r="M551" s="112">
        <v>1675981</v>
      </c>
      <c r="N551" s="112">
        <v>1808815</v>
      </c>
      <c r="O551" s="112">
        <v>2007095</v>
      </c>
      <c r="P551" s="112">
        <v>2140750</v>
      </c>
      <c r="R551" s="111" t="s">
        <v>131</v>
      </c>
      <c r="S551" s="220">
        <v>1.7</v>
      </c>
      <c r="T551" s="220">
        <v>1.4</v>
      </c>
      <c r="U551" s="220">
        <v>1.1000000000000001</v>
      </c>
      <c r="V551" s="220">
        <v>1.2</v>
      </c>
      <c r="W551" s="220">
        <v>1.3</v>
      </c>
      <c r="X551" s="220">
        <v>1.4</v>
      </c>
      <c r="Y551" s="220">
        <v>1.4</v>
      </c>
      <c r="Z551" s="220">
        <v>1.6</v>
      </c>
      <c r="AA551" s="220">
        <v>1.3</v>
      </c>
      <c r="AC551" s="111" t="s">
        <v>131</v>
      </c>
      <c r="AD551" s="112">
        <f t="shared" si="564"/>
        <v>44679.127999999997</v>
      </c>
      <c r="AE551" s="112">
        <f t="shared" si="564"/>
        <v>36678.32</v>
      </c>
      <c r="AF551" s="112">
        <f t="shared" si="564"/>
        <v>30276.158000000003</v>
      </c>
      <c r="AG551" s="112">
        <f t="shared" si="564"/>
        <v>35622.095999999998</v>
      </c>
      <c r="AH551" s="112">
        <f t="shared" si="564"/>
        <v>41382.275999999998</v>
      </c>
      <c r="AI551" s="112">
        <f t="shared" si="564"/>
        <v>46927.468000000001</v>
      </c>
      <c r="AJ551" s="112">
        <f t="shared" si="564"/>
        <v>50646.82</v>
      </c>
      <c r="AK551" s="112">
        <f>2*(P551*Z551/100)</f>
        <v>68504</v>
      </c>
      <c r="AL551" s="112">
        <f t="shared" si="536"/>
        <v>55659.5</v>
      </c>
      <c r="AN551" s="111" t="s">
        <v>131</v>
      </c>
      <c r="AO551" s="113">
        <f t="shared" ref="AO551:AW551" si="573">H551/H547</f>
        <v>0.36138281676258865</v>
      </c>
      <c r="AP551" s="113">
        <f t="shared" si="573"/>
        <v>0.34977521240471859</v>
      </c>
      <c r="AQ551" s="113">
        <f t="shared" si="573"/>
        <v>0.35332231406656128</v>
      </c>
      <c r="AR551" s="113">
        <f t="shared" si="573"/>
        <v>0.357699489377372</v>
      </c>
      <c r="AS551" s="113">
        <f t="shared" si="573"/>
        <v>0.3601802320042381</v>
      </c>
      <c r="AT551" s="113">
        <f t="shared" si="573"/>
        <v>0.35439513094477609</v>
      </c>
      <c r="AU551" s="113">
        <f t="shared" si="573"/>
        <v>0.35206529114242369</v>
      </c>
      <c r="AV551" s="113">
        <f t="shared" si="573"/>
        <v>0.36119905210882031</v>
      </c>
      <c r="AW551" s="113">
        <f t="shared" si="573"/>
        <v>0.35856687148624983</v>
      </c>
      <c r="AY551" s="111" t="s">
        <v>131</v>
      </c>
      <c r="AZ551" s="179">
        <f t="shared" si="548"/>
        <v>1.2287015769928014E-2</v>
      </c>
      <c r="BA551" s="179">
        <f t="shared" si="548"/>
        <v>9.7937059473321205E-3</v>
      </c>
      <c r="BB551" s="179">
        <f t="shared" si="548"/>
        <v>7.7730909094643483E-3</v>
      </c>
      <c r="BC551" s="179">
        <f t="shared" si="548"/>
        <v>8.5847877450569276E-3</v>
      </c>
      <c r="BD551" s="179">
        <f t="shared" si="548"/>
        <v>9.3646860321101918E-3</v>
      </c>
      <c r="BE551" s="179">
        <f t="shared" si="548"/>
        <v>9.9230636664537301E-3</v>
      </c>
      <c r="BF551" s="179">
        <f t="shared" si="548"/>
        <v>9.8578281519878623E-3</v>
      </c>
      <c r="BG551" s="179">
        <f t="shared" si="548"/>
        <v>1.1558369667482251E-2</v>
      </c>
      <c r="BH551" s="179">
        <f t="shared" si="548"/>
        <v>9.3227386586424953E-3</v>
      </c>
    </row>
    <row r="552" spans="2:68" s="173" customFormat="1" x14ac:dyDescent="0.25">
      <c r="B552" s="172"/>
      <c r="C552" s="85"/>
      <c r="D552" s="85"/>
      <c r="E552" s="206" t="s">
        <v>46</v>
      </c>
      <c r="F552" s="207" t="s">
        <v>132</v>
      </c>
      <c r="G552" s="195" t="s">
        <v>7</v>
      </c>
      <c r="H552" s="274">
        <v>25716194</v>
      </c>
      <c r="I552" s="274">
        <v>26396901</v>
      </c>
      <c r="J552" s="274">
        <v>26976314</v>
      </c>
      <c r="K552" s="274">
        <v>27889743</v>
      </c>
      <c r="L552" s="274">
        <v>28585814</v>
      </c>
      <c r="M552" s="274">
        <v>29135896</v>
      </c>
      <c r="N552" s="274">
        <v>29800995</v>
      </c>
      <c r="O552" s="69">
        <v>30460543</v>
      </c>
      <c r="P552" s="69">
        <v>31157220</v>
      </c>
      <c r="R552" s="195" t="s">
        <v>7</v>
      </c>
      <c r="S552" s="226">
        <v>0.2</v>
      </c>
      <c r="T552" s="226">
        <v>2.2000000000000002</v>
      </c>
      <c r="U552" s="226">
        <v>0.2</v>
      </c>
      <c r="V552" s="226">
        <v>0.2</v>
      </c>
      <c r="W552" s="226">
        <v>0.2</v>
      </c>
      <c r="X552" s="226">
        <v>0.2</v>
      </c>
      <c r="Y552" s="226">
        <v>0.2</v>
      </c>
      <c r="Z552" s="226">
        <v>0.2</v>
      </c>
      <c r="AA552" s="226">
        <v>0.2</v>
      </c>
      <c r="AC552" s="195" t="s">
        <v>7</v>
      </c>
      <c r="AD552" s="69">
        <f t="shared" si="564"/>
        <v>102864.77600000001</v>
      </c>
      <c r="AE552" s="69">
        <f t="shared" si="564"/>
        <v>1161463.6440000001</v>
      </c>
      <c r="AF552" s="69">
        <f t="shared" si="564"/>
        <v>107905.25600000001</v>
      </c>
      <c r="AG552" s="69">
        <f t="shared" si="564"/>
        <v>111558.97200000001</v>
      </c>
      <c r="AH552" s="69">
        <f t="shared" si="564"/>
        <v>114343.25600000001</v>
      </c>
      <c r="AI552" s="69">
        <f t="shared" si="564"/>
        <v>116543.584</v>
      </c>
      <c r="AJ552" s="69">
        <f t="shared" si="564"/>
        <v>119203.98</v>
      </c>
      <c r="AK552" s="69">
        <f t="shared" si="564"/>
        <v>121842.17200000001</v>
      </c>
      <c r="AL552" s="69">
        <f t="shared" si="536"/>
        <v>124628.88</v>
      </c>
      <c r="AN552" s="195" t="s">
        <v>7</v>
      </c>
      <c r="AO552" s="98">
        <f t="shared" ref="AO552:AW552" si="574">H552/H552</f>
        <v>1</v>
      </c>
      <c r="AP552" s="98">
        <f t="shared" si="574"/>
        <v>1</v>
      </c>
      <c r="AQ552" s="98">
        <f t="shared" si="574"/>
        <v>1</v>
      </c>
      <c r="AR552" s="98">
        <f t="shared" si="574"/>
        <v>1</v>
      </c>
      <c r="AS552" s="98">
        <f t="shared" si="574"/>
        <v>1</v>
      </c>
      <c r="AT552" s="98">
        <f t="shared" si="574"/>
        <v>1</v>
      </c>
      <c r="AU552" s="98">
        <f t="shared" si="574"/>
        <v>1</v>
      </c>
      <c r="AV552" s="98">
        <f t="shared" si="574"/>
        <v>1</v>
      </c>
      <c r="AW552" s="98">
        <f t="shared" si="574"/>
        <v>1</v>
      </c>
      <c r="AX552" s="199"/>
      <c r="AY552" s="195" t="s">
        <v>7</v>
      </c>
      <c r="AZ552" s="178">
        <f t="shared" si="548"/>
        <v>4.0000000000000001E-3</v>
      </c>
      <c r="BA552" s="178">
        <f t="shared" si="548"/>
        <v>4.4000000000000004E-2</v>
      </c>
      <c r="BB552" s="178">
        <f t="shared" si="548"/>
        <v>4.0000000000000001E-3</v>
      </c>
      <c r="BC552" s="178">
        <f t="shared" si="548"/>
        <v>4.0000000000000001E-3</v>
      </c>
      <c r="BD552" s="178">
        <f t="shared" si="548"/>
        <v>4.0000000000000001E-3</v>
      </c>
      <c r="BE552" s="178">
        <f t="shared" si="548"/>
        <v>4.0000000000000001E-3</v>
      </c>
      <c r="BF552" s="178">
        <f t="shared" si="548"/>
        <v>4.0000000000000001E-3</v>
      </c>
      <c r="BG552" s="178">
        <f t="shared" si="548"/>
        <v>4.0000000000000001E-3</v>
      </c>
      <c r="BH552" s="178">
        <f t="shared" si="548"/>
        <v>4.0000000000000001E-3</v>
      </c>
      <c r="BI552" s="199"/>
      <c r="BJ552" s="199"/>
      <c r="BK552" s="199"/>
      <c r="BL552" s="199"/>
      <c r="BM552" s="199"/>
      <c r="BN552" s="199"/>
      <c r="BO552" s="199"/>
      <c r="BP552" s="199"/>
    </row>
    <row r="553" spans="2:68" x14ac:dyDescent="0.25">
      <c r="C553" s="108"/>
      <c r="D553" s="108"/>
      <c r="E553" s="109" t="s">
        <v>46</v>
      </c>
      <c r="F553" s="110" t="s">
        <v>132</v>
      </c>
      <c r="G553" s="111" t="s">
        <v>54</v>
      </c>
      <c r="H553" s="112">
        <v>6677456</v>
      </c>
      <c r="I553" s="112">
        <v>6081368</v>
      </c>
      <c r="J553" s="112">
        <v>5874587</v>
      </c>
      <c r="K553" s="112">
        <v>6063013</v>
      </c>
      <c r="L553" s="112">
        <v>5846845</v>
      </c>
      <c r="M553" s="112">
        <v>5847486</v>
      </c>
      <c r="N553" s="112">
        <v>5567988</v>
      </c>
      <c r="O553" s="112">
        <v>5285202</v>
      </c>
      <c r="P553" s="112">
        <v>4999656</v>
      </c>
      <c r="R553" s="111" t="s">
        <v>54</v>
      </c>
      <c r="S553" s="220">
        <v>0.8</v>
      </c>
      <c r="T553" s="220">
        <v>0.8</v>
      </c>
      <c r="U553" s="220">
        <v>0.9</v>
      </c>
      <c r="V553" s="220">
        <v>0.9</v>
      </c>
      <c r="W553" s="220">
        <v>1.1000000000000001</v>
      </c>
      <c r="X553" s="220">
        <v>1.2</v>
      </c>
      <c r="Y553" s="220">
        <v>1.2</v>
      </c>
      <c r="Z553" s="220">
        <v>1.2</v>
      </c>
      <c r="AA553" s="220">
        <v>1.3</v>
      </c>
      <c r="AC553" s="111" t="s">
        <v>54</v>
      </c>
      <c r="AD553" s="112">
        <f t="shared" si="564"/>
        <v>106839.29600000002</v>
      </c>
      <c r="AE553" s="112">
        <f t="shared" si="564"/>
        <v>97301.888000000006</v>
      </c>
      <c r="AF553" s="112">
        <f t="shared" si="564"/>
        <v>105742.56599999999</v>
      </c>
      <c r="AG553" s="112">
        <f t="shared" si="564"/>
        <v>109134.234</v>
      </c>
      <c r="AH553" s="112">
        <f t="shared" si="564"/>
        <v>128630.59000000003</v>
      </c>
      <c r="AI553" s="112">
        <f t="shared" si="564"/>
        <v>140339.66399999999</v>
      </c>
      <c r="AJ553" s="112">
        <f t="shared" si="564"/>
        <v>133631.712</v>
      </c>
      <c r="AK553" s="112">
        <f t="shared" si="564"/>
        <v>126844.84799999998</v>
      </c>
      <c r="AL553" s="112">
        <f t="shared" si="536"/>
        <v>129991.056</v>
      </c>
      <c r="AN553" s="111" t="s">
        <v>54</v>
      </c>
      <c r="AO553" s="113">
        <f t="shared" ref="AO553:AW553" si="575">H553/H552</f>
        <v>0.25965957481888652</v>
      </c>
      <c r="AP553" s="113">
        <f t="shared" si="575"/>
        <v>0.23038189217741886</v>
      </c>
      <c r="AQ553" s="113">
        <f t="shared" si="575"/>
        <v>0.21776833558506176</v>
      </c>
      <c r="AR553" s="113">
        <f t="shared" si="575"/>
        <v>0.21739221476511991</v>
      </c>
      <c r="AS553" s="113">
        <f t="shared" si="575"/>
        <v>0.20453659287085546</v>
      </c>
      <c r="AT553" s="113">
        <f t="shared" si="575"/>
        <v>0.20069696844057927</v>
      </c>
      <c r="AU553" s="113">
        <f t="shared" si="575"/>
        <v>0.18683899648317112</v>
      </c>
      <c r="AV553" s="113">
        <f t="shared" si="575"/>
        <v>0.17350977623740982</v>
      </c>
      <c r="AW553" s="113">
        <f t="shared" si="575"/>
        <v>0.16046540737588269</v>
      </c>
      <c r="AY553" s="111" t="s">
        <v>54</v>
      </c>
      <c r="AZ553" s="179">
        <f t="shared" si="548"/>
        <v>4.1545531971021845E-3</v>
      </c>
      <c r="BA553" s="179">
        <f t="shared" si="548"/>
        <v>3.686110274838702E-3</v>
      </c>
      <c r="BB553" s="179">
        <f t="shared" si="548"/>
        <v>3.9198300405311115E-3</v>
      </c>
      <c r="BC553" s="179">
        <f t="shared" si="548"/>
        <v>3.9130598657721579E-3</v>
      </c>
      <c r="BD553" s="179">
        <f t="shared" si="548"/>
        <v>4.4998050431588202E-3</v>
      </c>
      <c r="BE553" s="179">
        <f t="shared" si="548"/>
        <v>4.8167272425739018E-3</v>
      </c>
      <c r="BF553" s="179">
        <f t="shared" si="548"/>
        <v>4.4841359155961069E-3</v>
      </c>
      <c r="BG553" s="179">
        <f t="shared" si="548"/>
        <v>4.1642346296978357E-3</v>
      </c>
      <c r="BH553" s="179">
        <f t="shared" si="548"/>
        <v>4.1721005917729507E-3</v>
      </c>
    </row>
    <row r="554" spans="2:68" x14ac:dyDescent="0.25">
      <c r="C554" s="108"/>
      <c r="D554" s="108"/>
      <c r="E554" s="109" t="s">
        <v>46</v>
      </c>
      <c r="F554" s="110" t="s">
        <v>132</v>
      </c>
      <c r="G554" s="111" t="s">
        <v>55</v>
      </c>
      <c r="H554" s="70">
        <v>6360730</v>
      </c>
      <c r="I554" s="70">
        <v>6932027</v>
      </c>
      <c r="J554" s="70">
        <v>6984038</v>
      </c>
      <c r="K554" s="70">
        <v>7129705</v>
      </c>
      <c r="L554" s="70">
        <v>7144842</v>
      </c>
      <c r="M554" s="70">
        <v>7270951</v>
      </c>
      <c r="N554" s="70">
        <v>7414613</v>
      </c>
      <c r="O554" s="112">
        <v>7531034</v>
      </c>
      <c r="P554" s="112">
        <v>7574058</v>
      </c>
      <c r="R554" s="111" t="s">
        <v>55</v>
      </c>
      <c r="S554" s="81">
        <v>0.8</v>
      </c>
      <c r="T554" s="81">
        <v>0.8</v>
      </c>
      <c r="U554" s="81">
        <v>0.8</v>
      </c>
      <c r="V554" s="81">
        <v>0.8</v>
      </c>
      <c r="W554" s="81">
        <v>0.8</v>
      </c>
      <c r="X554" s="81">
        <v>0.9</v>
      </c>
      <c r="Y554" s="81">
        <v>0.9</v>
      </c>
      <c r="Z554" s="81">
        <v>1</v>
      </c>
      <c r="AA554" s="81">
        <v>1</v>
      </c>
      <c r="AC554" s="111" t="s">
        <v>55</v>
      </c>
      <c r="AD554" s="70">
        <f t="shared" si="564"/>
        <v>101771.68</v>
      </c>
      <c r="AE554" s="70">
        <f t="shared" si="564"/>
        <v>110912.43200000002</v>
      </c>
      <c r="AF554" s="70">
        <f t="shared" si="564"/>
        <v>111744.60800000001</v>
      </c>
      <c r="AG554" s="70">
        <f t="shared" si="564"/>
        <v>114075.28</v>
      </c>
      <c r="AH554" s="70">
        <f t="shared" si="564"/>
        <v>114317.47200000001</v>
      </c>
      <c r="AI554" s="70">
        <f t="shared" si="564"/>
        <v>130877.118</v>
      </c>
      <c r="AJ554" s="70">
        <f t="shared" si="564"/>
        <v>133463.03400000001</v>
      </c>
      <c r="AK554" s="70">
        <f t="shared" si="564"/>
        <v>150620.68</v>
      </c>
      <c r="AL554" s="70">
        <f t="shared" si="536"/>
        <v>151481.16</v>
      </c>
      <c r="AN554" s="111" t="s">
        <v>55</v>
      </c>
      <c r="AO554" s="113">
        <f t="shared" ref="AO554:AW554" si="576">H554/H552</f>
        <v>0.24734336659616116</v>
      </c>
      <c r="AP554" s="113">
        <f t="shared" si="576"/>
        <v>0.26260760685506229</v>
      </c>
      <c r="AQ554" s="113">
        <f t="shared" si="576"/>
        <v>0.25889519227867824</v>
      </c>
      <c r="AR554" s="113">
        <f t="shared" si="576"/>
        <v>0.25563896375810991</v>
      </c>
      <c r="AS554" s="113">
        <f t="shared" si="576"/>
        <v>0.24994362588380376</v>
      </c>
      <c r="AT554" s="113">
        <f t="shared" si="576"/>
        <v>0.249553025587406</v>
      </c>
      <c r="AU554" s="113">
        <f t="shared" si="576"/>
        <v>0.24880420938965292</v>
      </c>
      <c r="AV554" s="113">
        <f t="shared" si="576"/>
        <v>0.24723899373691402</v>
      </c>
      <c r="AW554" s="113">
        <f t="shared" si="576"/>
        <v>0.24309158519277393</v>
      </c>
      <c r="AY554" s="111" t="s">
        <v>55</v>
      </c>
      <c r="AZ554" s="179">
        <f t="shared" si="548"/>
        <v>3.9574938655385786E-3</v>
      </c>
      <c r="BA554" s="179">
        <f t="shared" si="548"/>
        <v>4.2017217096809965E-3</v>
      </c>
      <c r="BB554" s="179">
        <f t="shared" si="548"/>
        <v>4.1423230764588521E-3</v>
      </c>
      <c r="BC554" s="179">
        <f t="shared" si="548"/>
        <v>4.0902234201297587E-3</v>
      </c>
      <c r="BD554" s="179">
        <f t="shared" si="548"/>
        <v>3.9990980141408608E-3</v>
      </c>
      <c r="BE554" s="179">
        <f t="shared" si="548"/>
        <v>4.4919544605733081E-3</v>
      </c>
      <c r="BF554" s="179">
        <f t="shared" si="548"/>
        <v>4.4784757690137528E-3</v>
      </c>
      <c r="BG554" s="179">
        <f t="shared" si="548"/>
        <v>4.9447798747382808E-3</v>
      </c>
      <c r="BH554" s="179">
        <f t="shared" si="548"/>
        <v>4.8618317038554787E-3</v>
      </c>
    </row>
    <row r="555" spans="2:68" x14ac:dyDescent="0.25">
      <c r="C555" s="108"/>
      <c r="D555" s="108"/>
      <c r="E555" s="109" t="s">
        <v>46</v>
      </c>
      <c r="F555" s="110" t="s">
        <v>132</v>
      </c>
      <c r="G555" s="111" t="s">
        <v>130</v>
      </c>
      <c r="H555" s="70">
        <v>3092298</v>
      </c>
      <c r="I555" s="70">
        <v>3472052</v>
      </c>
      <c r="J555" s="70">
        <v>3426345</v>
      </c>
      <c r="K555" s="70">
        <v>3206187</v>
      </c>
      <c r="L555" s="70">
        <v>3415664</v>
      </c>
      <c r="M555" s="70">
        <v>3571684</v>
      </c>
      <c r="N555" s="70">
        <v>3723881</v>
      </c>
      <c r="O555" s="112">
        <v>3905596</v>
      </c>
      <c r="P555" s="112">
        <v>3962455</v>
      </c>
      <c r="R555" s="111" t="s">
        <v>130</v>
      </c>
      <c r="S555" s="220">
        <v>1.1000000000000001</v>
      </c>
      <c r="T555" s="220">
        <v>1.2</v>
      </c>
      <c r="U555" s="220">
        <v>1.2</v>
      </c>
      <c r="V555" s="220">
        <v>1.3</v>
      </c>
      <c r="W555" s="220">
        <v>1.4</v>
      </c>
      <c r="X555" s="220">
        <v>1.5</v>
      </c>
      <c r="Y555" s="220">
        <v>1.6</v>
      </c>
      <c r="Z555" s="220">
        <v>1.6</v>
      </c>
      <c r="AA555" s="220">
        <v>1.6</v>
      </c>
      <c r="AC555" s="111" t="s">
        <v>130</v>
      </c>
      <c r="AD555" s="70">
        <f t="shared" si="564"/>
        <v>68030.556000000011</v>
      </c>
      <c r="AE555" s="70">
        <f t="shared" si="564"/>
        <v>83329.247999999992</v>
      </c>
      <c r="AF555" s="70">
        <f t="shared" si="564"/>
        <v>82232.28</v>
      </c>
      <c r="AG555" s="70">
        <f t="shared" si="564"/>
        <v>83360.862000000008</v>
      </c>
      <c r="AH555" s="70">
        <f t="shared" si="564"/>
        <v>95638.59199999999</v>
      </c>
      <c r="AI555" s="70">
        <f t="shared" si="564"/>
        <v>107150.52</v>
      </c>
      <c r="AJ555" s="70">
        <f t="shared" si="564"/>
        <v>119164.19200000001</v>
      </c>
      <c r="AK555" s="70">
        <f t="shared" si="564"/>
        <v>124979.07200000001</v>
      </c>
      <c r="AL555" s="70">
        <f t="shared" si="536"/>
        <v>126798.56</v>
      </c>
      <c r="AN555" s="111" t="s">
        <v>130</v>
      </c>
      <c r="AO555" s="113">
        <f t="shared" ref="AO555:AW555" si="577">H555/H552</f>
        <v>0.12024710966171744</v>
      </c>
      <c r="AP555" s="113">
        <f t="shared" si="577"/>
        <v>0.13153256134119684</v>
      </c>
      <c r="AQ555" s="113">
        <f t="shared" si="577"/>
        <v>0.12701309007598297</v>
      </c>
      <c r="AR555" s="113">
        <f t="shared" si="577"/>
        <v>0.11495935979044339</v>
      </c>
      <c r="AS555" s="113">
        <f t="shared" si="577"/>
        <v>0.11948807894713091</v>
      </c>
      <c r="AT555" s="113">
        <f t="shared" si="577"/>
        <v>0.12258706579677522</v>
      </c>
      <c r="AU555" s="113">
        <f t="shared" si="577"/>
        <v>0.12495827739979823</v>
      </c>
      <c r="AV555" s="113">
        <f t="shared" si="577"/>
        <v>0.1282182001811327</v>
      </c>
      <c r="AW555" s="113">
        <f t="shared" si="577"/>
        <v>0.12717614087521287</v>
      </c>
      <c r="AY555" s="111" t="s">
        <v>130</v>
      </c>
      <c r="AZ555" s="179">
        <f t="shared" si="548"/>
        <v>2.6454364125577841E-3</v>
      </c>
      <c r="BA555" s="179">
        <f t="shared" si="548"/>
        <v>3.1567814721887239E-3</v>
      </c>
      <c r="BB555" s="179">
        <f t="shared" si="548"/>
        <v>3.0483141618235909E-3</v>
      </c>
      <c r="BC555" s="179">
        <f t="shared" ref="BC555:BH566" si="578">2*(V555*AR555/100)</f>
        <v>2.9889433545515283E-3</v>
      </c>
      <c r="BD555" s="179">
        <f t="shared" si="578"/>
        <v>3.3456662105196657E-3</v>
      </c>
      <c r="BE555" s="179">
        <f t="shared" si="578"/>
        <v>3.6776119739032566E-3</v>
      </c>
      <c r="BF555" s="179">
        <f t="shared" si="578"/>
        <v>3.998664876793543E-3</v>
      </c>
      <c r="BG555" s="179">
        <f t="shared" si="578"/>
        <v>4.1029824057962462E-3</v>
      </c>
      <c r="BH555" s="179">
        <f t="shared" si="578"/>
        <v>4.0696365080068117E-3</v>
      </c>
    </row>
    <row r="556" spans="2:68" x14ac:dyDescent="0.25">
      <c r="C556" s="108"/>
      <c r="D556" s="108"/>
      <c r="E556" s="109" t="s">
        <v>46</v>
      </c>
      <c r="F556" s="110" t="s">
        <v>132</v>
      </c>
      <c r="G556" s="111" t="s">
        <v>131</v>
      </c>
      <c r="H556" s="112">
        <v>9583007</v>
      </c>
      <c r="I556" s="112">
        <v>9906337</v>
      </c>
      <c r="J556" s="112">
        <v>10681255</v>
      </c>
      <c r="K556" s="112">
        <v>11482773</v>
      </c>
      <c r="L556" s="112">
        <v>12181479</v>
      </c>
      <c r="M556" s="112">
        <v>12449032</v>
      </c>
      <c r="N556" s="112">
        <v>13099104</v>
      </c>
      <c r="O556" s="112">
        <v>13738711</v>
      </c>
      <c r="P556" s="112">
        <v>14621051</v>
      </c>
      <c r="R556" s="111" t="s">
        <v>131</v>
      </c>
      <c r="S556" s="220">
        <v>0.6</v>
      </c>
      <c r="T556" s="220">
        <v>0.6</v>
      </c>
      <c r="U556" s="220">
        <v>0.6</v>
      </c>
      <c r="V556" s="220">
        <v>0.6</v>
      </c>
      <c r="W556" s="220">
        <v>0.7</v>
      </c>
      <c r="X556" s="220">
        <v>0.7</v>
      </c>
      <c r="Y556" s="220">
        <v>0.6</v>
      </c>
      <c r="Z556" s="220">
        <v>0.6</v>
      </c>
      <c r="AA556" s="220">
        <v>0.6</v>
      </c>
      <c r="AC556" s="111" t="s">
        <v>131</v>
      </c>
      <c r="AD556" s="112">
        <f t="shared" si="564"/>
        <v>114996.084</v>
      </c>
      <c r="AE556" s="112">
        <f t="shared" si="564"/>
        <v>118876.04400000001</v>
      </c>
      <c r="AF556" s="112">
        <f t="shared" si="564"/>
        <v>128175.06</v>
      </c>
      <c r="AG556" s="112">
        <f t="shared" si="564"/>
        <v>137793.27599999998</v>
      </c>
      <c r="AH556" s="112">
        <f t="shared" si="564"/>
        <v>170540.70599999998</v>
      </c>
      <c r="AI556" s="112">
        <f t="shared" si="564"/>
        <v>174286.448</v>
      </c>
      <c r="AJ556" s="112">
        <f t="shared" si="564"/>
        <v>157189.24799999999</v>
      </c>
      <c r="AK556" s="112">
        <f t="shared" si="564"/>
        <v>164864.53200000001</v>
      </c>
      <c r="AL556" s="112">
        <f t="shared" si="536"/>
        <v>175452.61199999999</v>
      </c>
      <c r="AN556" s="111" t="s">
        <v>131</v>
      </c>
      <c r="AO556" s="113">
        <f t="shared" ref="AO556:AW556" si="579">H556/H552</f>
        <v>0.37264484005681403</v>
      </c>
      <c r="AP556" s="113">
        <f t="shared" si="579"/>
        <v>0.3752840911135743</v>
      </c>
      <c r="AQ556" s="113">
        <f t="shared" si="579"/>
        <v>0.39594938730324686</v>
      </c>
      <c r="AR556" s="113">
        <f t="shared" si="579"/>
        <v>0.41172028727550486</v>
      </c>
      <c r="AS556" s="113">
        <f t="shared" si="579"/>
        <v>0.42613720917655168</v>
      </c>
      <c r="AT556" s="113">
        <f t="shared" si="579"/>
        <v>0.42727472668079264</v>
      </c>
      <c r="AU556" s="113">
        <f t="shared" si="579"/>
        <v>0.4395525719862709</v>
      </c>
      <c r="AV556" s="113">
        <f t="shared" si="579"/>
        <v>0.45103302984454346</v>
      </c>
      <c r="AW556" s="113">
        <f t="shared" si="579"/>
        <v>0.46926686655613048</v>
      </c>
      <c r="AY556" s="111" t="s">
        <v>131</v>
      </c>
      <c r="AZ556" s="179">
        <f t="shared" ref="AZ556:BB566" si="580">2*(S556*AO556/100)</f>
        <v>4.471738080681768E-3</v>
      </c>
      <c r="BA556" s="179">
        <f t="shared" si="580"/>
        <v>4.5034090933628911E-3</v>
      </c>
      <c r="BB556" s="179">
        <f t="shared" si="580"/>
        <v>4.7513926476389625E-3</v>
      </c>
      <c r="BC556" s="179">
        <f t="shared" si="578"/>
        <v>4.9406434473060583E-3</v>
      </c>
      <c r="BD556" s="179">
        <f t="shared" si="578"/>
        <v>5.9659209284717227E-3</v>
      </c>
      <c r="BE556" s="179">
        <f t="shared" si="578"/>
        <v>5.9818461735310965E-3</v>
      </c>
      <c r="BF556" s="179">
        <f t="shared" si="578"/>
        <v>5.2746308638352505E-3</v>
      </c>
      <c r="BG556" s="179">
        <f t="shared" si="578"/>
        <v>5.412396358134521E-3</v>
      </c>
      <c r="BH556" s="179">
        <f t="shared" si="578"/>
        <v>5.6312023986735656E-3</v>
      </c>
    </row>
    <row r="557" spans="2:68" s="173" customFormat="1" x14ac:dyDescent="0.25">
      <c r="B557" s="172"/>
      <c r="C557" s="85"/>
      <c r="D557" s="85"/>
      <c r="E557" s="206" t="s">
        <v>4</v>
      </c>
      <c r="F557" s="207" t="s">
        <v>132</v>
      </c>
      <c r="G557" s="195" t="s">
        <v>7</v>
      </c>
      <c r="H557" s="274">
        <v>12649340</v>
      </c>
      <c r="I557" s="274">
        <v>13002177</v>
      </c>
      <c r="J557" s="274">
        <v>13296677</v>
      </c>
      <c r="K557" s="274">
        <v>13746699</v>
      </c>
      <c r="L557" s="274">
        <v>14098909</v>
      </c>
      <c r="M557" s="274">
        <v>14373626</v>
      </c>
      <c r="N557" s="274">
        <v>14714457</v>
      </c>
      <c r="O557" s="69">
        <v>15024556</v>
      </c>
      <c r="P557" s="69">
        <v>15373539</v>
      </c>
      <c r="R557" s="195" t="s">
        <v>7</v>
      </c>
      <c r="S557" s="226">
        <v>0.2</v>
      </c>
      <c r="T557" s="226">
        <v>0.2</v>
      </c>
      <c r="U557" s="226">
        <v>0.2</v>
      </c>
      <c r="V557" s="226">
        <v>0.2</v>
      </c>
      <c r="W557" s="226">
        <v>0.2</v>
      </c>
      <c r="X557" s="226">
        <v>0.2</v>
      </c>
      <c r="Y557" s="226">
        <v>0.3</v>
      </c>
      <c r="Z557" s="226">
        <v>0.2</v>
      </c>
      <c r="AA557" s="226">
        <v>0.2</v>
      </c>
      <c r="AC557" s="195" t="s">
        <v>7</v>
      </c>
      <c r="AD557" s="69">
        <f t="shared" si="564"/>
        <v>50597.36</v>
      </c>
      <c r="AE557" s="69">
        <f t="shared" si="564"/>
        <v>52008.708000000006</v>
      </c>
      <c r="AF557" s="69">
        <f t="shared" si="564"/>
        <v>53186.708000000006</v>
      </c>
      <c r="AG557" s="69">
        <f t="shared" si="564"/>
        <v>54986.796000000002</v>
      </c>
      <c r="AH557" s="69">
        <f t="shared" si="564"/>
        <v>56395.636000000006</v>
      </c>
      <c r="AI557" s="69">
        <f t="shared" si="564"/>
        <v>57494.504000000001</v>
      </c>
      <c r="AJ557" s="69">
        <f t="shared" si="564"/>
        <v>88286.741999999998</v>
      </c>
      <c r="AK557" s="69">
        <f t="shared" si="564"/>
        <v>60098.224000000002</v>
      </c>
      <c r="AL557" s="69">
        <f t="shared" si="536"/>
        <v>61494.156000000003</v>
      </c>
      <c r="AN557" s="195" t="s">
        <v>7</v>
      </c>
      <c r="AO557" s="98">
        <f t="shared" ref="AO557:AW557" si="581">H557/H557</f>
        <v>1</v>
      </c>
      <c r="AP557" s="98">
        <f t="shared" si="581"/>
        <v>1</v>
      </c>
      <c r="AQ557" s="98">
        <f t="shared" si="581"/>
        <v>1</v>
      </c>
      <c r="AR557" s="98">
        <f t="shared" si="581"/>
        <v>1</v>
      </c>
      <c r="AS557" s="98">
        <f t="shared" si="581"/>
        <v>1</v>
      </c>
      <c r="AT557" s="98">
        <f t="shared" si="581"/>
        <v>1</v>
      </c>
      <c r="AU557" s="98">
        <f t="shared" si="581"/>
        <v>1</v>
      </c>
      <c r="AV557" s="98">
        <f t="shared" si="581"/>
        <v>1</v>
      </c>
      <c r="AW557" s="98">
        <f t="shared" si="581"/>
        <v>1</v>
      </c>
      <c r="AX557" s="199"/>
      <c r="AY557" s="195" t="s">
        <v>7</v>
      </c>
      <c r="AZ557" s="178">
        <f t="shared" si="580"/>
        <v>4.0000000000000001E-3</v>
      </c>
      <c r="BA557" s="178">
        <f t="shared" si="580"/>
        <v>4.0000000000000001E-3</v>
      </c>
      <c r="BB557" s="178">
        <f t="shared" si="580"/>
        <v>4.0000000000000001E-3</v>
      </c>
      <c r="BC557" s="178">
        <f t="shared" si="578"/>
        <v>4.0000000000000001E-3</v>
      </c>
      <c r="BD557" s="178">
        <f t="shared" si="578"/>
        <v>4.0000000000000001E-3</v>
      </c>
      <c r="BE557" s="178">
        <f t="shared" si="578"/>
        <v>4.0000000000000001E-3</v>
      </c>
      <c r="BF557" s="178">
        <f t="shared" si="578"/>
        <v>6.0000000000000001E-3</v>
      </c>
      <c r="BG557" s="178">
        <f t="shared" si="578"/>
        <v>4.0000000000000001E-3</v>
      </c>
      <c r="BH557" s="178">
        <f t="shared" si="578"/>
        <v>4.0000000000000001E-3</v>
      </c>
      <c r="BI557" s="199"/>
      <c r="BJ557" s="199"/>
      <c r="BK557" s="199"/>
      <c r="BL557" s="199"/>
      <c r="BM557" s="199"/>
      <c r="BN557" s="199"/>
      <c r="BO557" s="199"/>
      <c r="BP557" s="199"/>
    </row>
    <row r="558" spans="2:68" x14ac:dyDescent="0.25">
      <c r="C558" s="108"/>
      <c r="D558" s="108"/>
      <c r="E558" s="109" t="s">
        <v>4</v>
      </c>
      <c r="F558" s="110" t="s">
        <v>132</v>
      </c>
      <c r="G558" s="111" t="s">
        <v>54</v>
      </c>
      <c r="H558" s="112">
        <v>3562712</v>
      </c>
      <c r="I558" s="112">
        <v>3267021</v>
      </c>
      <c r="J558" s="112">
        <v>3156097</v>
      </c>
      <c r="K558" s="112">
        <v>3375406</v>
      </c>
      <c r="L558" s="112">
        <v>3300641</v>
      </c>
      <c r="M558" s="112">
        <v>3261531</v>
      </c>
      <c r="N558" s="112">
        <v>3202645</v>
      </c>
      <c r="O558" s="112">
        <v>2997494</v>
      </c>
      <c r="P558" s="112">
        <v>2908060</v>
      </c>
      <c r="R558" s="111" t="s">
        <v>54</v>
      </c>
      <c r="S558" s="220">
        <v>1.1000000000000001</v>
      </c>
      <c r="T558" s="220">
        <v>1.2</v>
      </c>
      <c r="U558" s="220">
        <v>1.2</v>
      </c>
      <c r="V558" s="220">
        <v>1.3</v>
      </c>
      <c r="W558" s="220">
        <v>1.4</v>
      </c>
      <c r="X558" s="220">
        <v>1.5</v>
      </c>
      <c r="Y558" s="220">
        <v>1.3</v>
      </c>
      <c r="Z558" s="220">
        <v>2</v>
      </c>
      <c r="AA558" s="220">
        <v>1.9</v>
      </c>
      <c r="AC558" s="111" t="s">
        <v>54</v>
      </c>
      <c r="AD558" s="112">
        <f t="shared" si="564"/>
        <v>78379.664000000004</v>
      </c>
      <c r="AE558" s="112">
        <f t="shared" si="564"/>
        <v>78408.504000000001</v>
      </c>
      <c r="AF558" s="112">
        <f t="shared" si="564"/>
        <v>75746.327999999994</v>
      </c>
      <c r="AG558" s="112">
        <f t="shared" si="564"/>
        <v>87760.555999999997</v>
      </c>
      <c r="AH558" s="112">
        <f t="shared" si="564"/>
        <v>92417.947999999989</v>
      </c>
      <c r="AI558" s="112">
        <f t="shared" si="564"/>
        <v>97845.93</v>
      </c>
      <c r="AJ558" s="112">
        <f t="shared" si="564"/>
        <v>83268.77</v>
      </c>
      <c r="AK558" s="112">
        <f t="shared" si="564"/>
        <v>119899.76</v>
      </c>
      <c r="AL558" s="112">
        <f t="shared" si="564"/>
        <v>110506.28</v>
      </c>
      <c r="AN558" s="111" t="s">
        <v>54</v>
      </c>
      <c r="AO558" s="113">
        <f t="shared" ref="AO558:AW558" si="582">H558/H557</f>
        <v>0.28165200714029348</v>
      </c>
      <c r="AP558" s="113">
        <f t="shared" si="582"/>
        <v>0.25126723009539093</v>
      </c>
      <c r="AQ558" s="113">
        <f t="shared" si="582"/>
        <v>0.23735983058022692</v>
      </c>
      <c r="AR558" s="113">
        <f t="shared" si="582"/>
        <v>0.24554302090996535</v>
      </c>
      <c r="AS558" s="113">
        <f t="shared" si="582"/>
        <v>0.23410612835361941</v>
      </c>
      <c r="AT558" s="113">
        <f t="shared" si="582"/>
        <v>0.22691080176985265</v>
      </c>
      <c r="AU558" s="113">
        <f t="shared" si="582"/>
        <v>0.21765295178748356</v>
      </c>
      <c r="AV558" s="113">
        <f t="shared" si="582"/>
        <v>0.19950632817369113</v>
      </c>
      <c r="AW558" s="113">
        <f t="shared" si="582"/>
        <v>0.18916008864322001</v>
      </c>
      <c r="AY558" s="111" t="s">
        <v>54</v>
      </c>
      <c r="AZ558" s="179">
        <f t="shared" si="580"/>
        <v>6.1963441570864579E-3</v>
      </c>
      <c r="BA558" s="179">
        <f t="shared" si="580"/>
        <v>6.030413522289382E-3</v>
      </c>
      <c r="BB558" s="179">
        <f t="shared" si="580"/>
        <v>5.6966359339254459E-3</v>
      </c>
      <c r="BC558" s="179">
        <f t="shared" si="578"/>
        <v>6.3841185436590998E-3</v>
      </c>
      <c r="BD558" s="179">
        <f t="shared" si="578"/>
        <v>6.5549715939013427E-3</v>
      </c>
      <c r="BE558" s="179">
        <f t="shared" si="578"/>
        <v>6.8073240530955792E-3</v>
      </c>
      <c r="BF558" s="179">
        <f t="shared" si="578"/>
        <v>5.6589767464745736E-3</v>
      </c>
      <c r="BG558" s="179">
        <f t="shared" si="578"/>
        <v>7.9802531269476448E-3</v>
      </c>
      <c r="BH558" s="179">
        <f t="shared" si="578"/>
        <v>7.1880833684423596E-3</v>
      </c>
    </row>
    <row r="559" spans="2:68" x14ac:dyDescent="0.25">
      <c r="C559" s="108"/>
      <c r="D559" s="108"/>
      <c r="E559" s="109" t="s">
        <v>4</v>
      </c>
      <c r="F559" s="110" t="s">
        <v>132</v>
      </c>
      <c r="G559" s="111" t="s">
        <v>55</v>
      </c>
      <c r="H559" s="70">
        <v>3512658</v>
      </c>
      <c r="I559" s="70">
        <v>3831382</v>
      </c>
      <c r="J559" s="70">
        <v>3837181</v>
      </c>
      <c r="K559" s="70">
        <v>3920308</v>
      </c>
      <c r="L559" s="70">
        <v>3857259</v>
      </c>
      <c r="M559" s="70">
        <v>3978421</v>
      </c>
      <c r="N559" s="70">
        <v>4039452</v>
      </c>
      <c r="O559" s="112">
        <v>4090576</v>
      </c>
      <c r="P559" s="112">
        <v>4158486</v>
      </c>
      <c r="R559" s="111" t="s">
        <v>55</v>
      </c>
      <c r="S559" s="81">
        <v>1.1000000000000001</v>
      </c>
      <c r="T559" s="81">
        <v>1.2</v>
      </c>
      <c r="U559" s="81">
        <v>1.2</v>
      </c>
      <c r="V559" s="81">
        <v>1.3</v>
      </c>
      <c r="W559" s="81">
        <v>1.4</v>
      </c>
      <c r="X559" s="81">
        <v>1.5</v>
      </c>
      <c r="Y559" s="81">
        <v>1.2</v>
      </c>
      <c r="Z559" s="81">
        <v>1.3</v>
      </c>
      <c r="AA559" s="81">
        <v>1.2</v>
      </c>
      <c r="AC559" s="111" t="s">
        <v>55</v>
      </c>
      <c r="AD559" s="70">
        <f t="shared" si="564"/>
        <v>77278.47600000001</v>
      </c>
      <c r="AE559" s="70">
        <f t="shared" si="564"/>
        <v>91953.167999999991</v>
      </c>
      <c r="AF559" s="70">
        <f t="shared" si="564"/>
        <v>92092.343999999997</v>
      </c>
      <c r="AG559" s="70">
        <f t="shared" si="564"/>
        <v>101928.008</v>
      </c>
      <c r="AH559" s="70">
        <f t="shared" si="564"/>
        <v>108003.25199999999</v>
      </c>
      <c r="AI559" s="70">
        <f t="shared" si="564"/>
        <v>119352.63</v>
      </c>
      <c r="AJ559" s="70">
        <f t="shared" si="564"/>
        <v>96946.847999999984</v>
      </c>
      <c r="AK559" s="70">
        <f t="shared" si="564"/>
        <v>106354.976</v>
      </c>
      <c r="AL559" s="70">
        <f t="shared" si="564"/>
        <v>99803.664000000004</v>
      </c>
      <c r="AN559" s="111" t="s">
        <v>55</v>
      </c>
      <c r="AO559" s="113">
        <f t="shared" ref="AO559:AW559" si="583">H559/H557</f>
        <v>0.27769496274113908</v>
      </c>
      <c r="AP559" s="113">
        <f t="shared" si="583"/>
        <v>0.29467234602328518</v>
      </c>
      <c r="AQ559" s="113">
        <f t="shared" si="583"/>
        <v>0.28858195171620699</v>
      </c>
      <c r="AR559" s="113">
        <f t="shared" si="583"/>
        <v>0.28518177345703138</v>
      </c>
      <c r="AS559" s="113">
        <f t="shared" si="583"/>
        <v>0.273585637016311</v>
      </c>
      <c r="AT559" s="113">
        <f t="shared" si="583"/>
        <v>0.2767861776840444</v>
      </c>
      <c r="AU559" s="113">
        <f t="shared" si="583"/>
        <v>0.27452266842058798</v>
      </c>
      <c r="AV559" s="113">
        <f t="shared" si="583"/>
        <v>0.27225935994381467</v>
      </c>
      <c r="AW559" s="113">
        <f t="shared" si="583"/>
        <v>0.27049633789591321</v>
      </c>
      <c r="AY559" s="111" t="s">
        <v>55</v>
      </c>
      <c r="AZ559" s="179">
        <f t="shared" si="580"/>
        <v>6.1092891803050612E-3</v>
      </c>
      <c r="BA559" s="179">
        <f t="shared" si="580"/>
        <v>7.072136304558844E-3</v>
      </c>
      <c r="BB559" s="179">
        <f t="shared" si="580"/>
        <v>6.9259668411889679E-3</v>
      </c>
      <c r="BC559" s="179">
        <f t="shared" si="578"/>
        <v>7.4147261098828163E-3</v>
      </c>
      <c r="BD559" s="179">
        <f t="shared" si="578"/>
        <v>7.6603978364567071E-3</v>
      </c>
      <c r="BE559" s="179">
        <f t="shared" si="578"/>
        <v>8.303585330521333E-3</v>
      </c>
      <c r="BF559" s="179">
        <f t="shared" si="578"/>
        <v>6.5885440420941112E-3</v>
      </c>
      <c r="BG559" s="179">
        <f t="shared" si="578"/>
        <v>7.0787433585391812E-3</v>
      </c>
      <c r="BH559" s="179">
        <f t="shared" si="578"/>
        <v>6.4919121095019169E-3</v>
      </c>
    </row>
    <row r="560" spans="2:68" x14ac:dyDescent="0.25">
      <c r="C560" s="108"/>
      <c r="D560" s="108"/>
      <c r="E560" s="109" t="s">
        <v>4</v>
      </c>
      <c r="F560" s="110" t="s">
        <v>132</v>
      </c>
      <c r="G560" s="111" t="s">
        <v>130</v>
      </c>
      <c r="H560" s="70">
        <v>1509808</v>
      </c>
      <c r="I560" s="70">
        <v>1706578</v>
      </c>
      <c r="J560" s="70">
        <v>1723061</v>
      </c>
      <c r="K560" s="70">
        <v>1624958</v>
      </c>
      <c r="L560" s="70">
        <v>1742252</v>
      </c>
      <c r="M560" s="70">
        <v>1846603</v>
      </c>
      <c r="N560" s="70">
        <v>1930324</v>
      </c>
      <c r="O560" s="112">
        <v>2052707</v>
      </c>
      <c r="P560" s="112">
        <v>2074593</v>
      </c>
      <c r="R560" s="111" t="s">
        <v>130</v>
      </c>
      <c r="S560" s="220">
        <v>1.7</v>
      </c>
      <c r="T560" s="220">
        <v>1.8</v>
      </c>
      <c r="U560" s="220">
        <v>1.8</v>
      </c>
      <c r="V560" s="220">
        <v>1.9</v>
      </c>
      <c r="W560" s="220">
        <v>2.1</v>
      </c>
      <c r="X560" s="220">
        <v>2.2000000000000002</v>
      </c>
      <c r="Y560" s="220">
        <v>2.2999999999999998</v>
      </c>
      <c r="Z560" s="220">
        <v>2</v>
      </c>
      <c r="AA560" s="220">
        <v>1.9</v>
      </c>
      <c r="AC560" s="111" t="s">
        <v>130</v>
      </c>
      <c r="AD560" s="70">
        <f t="shared" si="564"/>
        <v>51333.472000000002</v>
      </c>
      <c r="AE560" s="70">
        <f t="shared" si="564"/>
        <v>61436.807999999997</v>
      </c>
      <c r="AF560" s="70">
        <f t="shared" si="564"/>
        <v>62030.196000000004</v>
      </c>
      <c r="AG560" s="70">
        <f t="shared" si="564"/>
        <v>61748.403999999995</v>
      </c>
      <c r="AH560" s="70">
        <f t="shared" si="564"/>
        <v>73174.584000000003</v>
      </c>
      <c r="AI560" s="70">
        <f t="shared" si="564"/>
        <v>81250.532000000007</v>
      </c>
      <c r="AJ560" s="70">
        <f t="shared" si="564"/>
        <v>88794.90399999998</v>
      </c>
      <c r="AK560" s="70">
        <f t="shared" si="564"/>
        <v>82108.28</v>
      </c>
      <c r="AL560" s="70">
        <f t="shared" si="564"/>
        <v>78834.534</v>
      </c>
      <c r="AN560" s="111" t="s">
        <v>130</v>
      </c>
      <c r="AO560" s="113">
        <f t="shared" ref="AO560:AW560" si="584">H560/H557</f>
        <v>0.11935863847441842</v>
      </c>
      <c r="AP560" s="113">
        <f t="shared" si="584"/>
        <v>0.13125325089790732</v>
      </c>
      <c r="AQ560" s="113">
        <f t="shared" si="584"/>
        <v>0.12958583561892945</v>
      </c>
      <c r="AR560" s="113">
        <f t="shared" si="584"/>
        <v>0.11820714194731405</v>
      </c>
      <c r="AS560" s="113">
        <f t="shared" si="584"/>
        <v>0.12357353324289135</v>
      </c>
      <c r="AT560" s="113">
        <f t="shared" si="584"/>
        <v>0.12847161878290139</v>
      </c>
      <c r="AU560" s="113">
        <f t="shared" si="584"/>
        <v>0.13118554085957776</v>
      </c>
      <c r="AV560" s="113">
        <f t="shared" si="584"/>
        <v>0.13662347160208926</v>
      </c>
      <c r="AW560" s="113">
        <f t="shared" si="584"/>
        <v>0.13494570118175131</v>
      </c>
      <c r="AY560" s="111" t="s">
        <v>130</v>
      </c>
      <c r="AZ560" s="179">
        <f t="shared" si="580"/>
        <v>4.0581937081302262E-3</v>
      </c>
      <c r="BA560" s="179">
        <f t="shared" si="580"/>
        <v>4.7251170323246638E-3</v>
      </c>
      <c r="BB560" s="179">
        <f t="shared" si="580"/>
        <v>4.6650900822814596E-3</v>
      </c>
      <c r="BC560" s="179">
        <f t="shared" si="578"/>
        <v>4.4918713939979338E-3</v>
      </c>
      <c r="BD560" s="179">
        <f t="shared" si="578"/>
        <v>5.1900883962014369E-3</v>
      </c>
      <c r="BE560" s="179">
        <f t="shared" si="578"/>
        <v>5.652751226447662E-3</v>
      </c>
      <c r="BF560" s="179">
        <f t="shared" si="578"/>
        <v>6.034534879540576E-3</v>
      </c>
      <c r="BG560" s="179">
        <f t="shared" si="578"/>
        <v>5.4649388640835702E-3</v>
      </c>
      <c r="BH560" s="179">
        <f t="shared" si="578"/>
        <v>5.1279366449065496E-3</v>
      </c>
    </row>
    <row r="561" spans="2:68" x14ac:dyDescent="0.25">
      <c r="C561" s="108"/>
      <c r="D561" s="108"/>
      <c r="E561" s="109" t="s">
        <v>4</v>
      </c>
      <c r="F561" s="110" t="s">
        <v>132</v>
      </c>
      <c r="G561" s="111" t="s">
        <v>131</v>
      </c>
      <c r="H561" s="112">
        <v>4062657</v>
      </c>
      <c r="I561" s="112">
        <v>4195446</v>
      </c>
      <c r="J561" s="112">
        <v>4577204</v>
      </c>
      <c r="K561" s="112">
        <v>4822913</v>
      </c>
      <c r="L561" s="112">
        <v>5199604</v>
      </c>
      <c r="M561" s="112">
        <v>5289789</v>
      </c>
      <c r="N561" s="112">
        <v>5545737</v>
      </c>
      <c r="O561" s="112">
        <v>5883779</v>
      </c>
      <c r="P561" s="112">
        <v>6232398</v>
      </c>
      <c r="R561" s="111" t="s">
        <v>131</v>
      </c>
      <c r="S561" s="220">
        <v>1</v>
      </c>
      <c r="T561" s="220">
        <v>1</v>
      </c>
      <c r="U561" s="220">
        <v>1</v>
      </c>
      <c r="V561" s="220">
        <v>1.1000000000000001</v>
      </c>
      <c r="W561" s="220">
        <v>1.1000000000000001</v>
      </c>
      <c r="X561" s="220">
        <v>1.2</v>
      </c>
      <c r="Y561" s="220">
        <v>0.9</v>
      </c>
      <c r="Z561" s="220">
        <v>1.2</v>
      </c>
      <c r="AA561" s="220">
        <v>0.9</v>
      </c>
      <c r="AC561" s="111" t="s">
        <v>131</v>
      </c>
      <c r="AD561" s="112">
        <f t="shared" si="564"/>
        <v>81253.14</v>
      </c>
      <c r="AE561" s="112">
        <f t="shared" si="564"/>
        <v>83908.92</v>
      </c>
      <c r="AF561" s="112">
        <f t="shared" si="564"/>
        <v>91544.08</v>
      </c>
      <c r="AG561" s="112">
        <f t="shared" si="564"/>
        <v>106104.08600000001</v>
      </c>
      <c r="AH561" s="112">
        <f t="shared" si="564"/>
        <v>114391.288</v>
      </c>
      <c r="AI561" s="112">
        <f t="shared" si="564"/>
        <v>126954.936</v>
      </c>
      <c r="AJ561" s="112">
        <f t="shared" si="564"/>
        <v>99823.266000000003</v>
      </c>
      <c r="AK561" s="112">
        <f t="shared" si="564"/>
        <v>141210.696</v>
      </c>
      <c r="AL561" s="112">
        <f t="shared" si="564"/>
        <v>112183.164</v>
      </c>
      <c r="AN561" s="111" t="s">
        <v>131</v>
      </c>
      <c r="AO561" s="113">
        <f t="shared" ref="AO561:AW561" si="585">H561/H557</f>
        <v>0.32117541310455722</v>
      </c>
      <c r="AP561" s="113">
        <f t="shared" si="585"/>
        <v>0.32267258013792616</v>
      </c>
      <c r="AQ561" s="113">
        <f t="shared" si="585"/>
        <v>0.34423668409783886</v>
      </c>
      <c r="AR561" s="113">
        <f t="shared" si="585"/>
        <v>0.35084153657543532</v>
      </c>
      <c r="AS561" s="113">
        <f t="shared" si="585"/>
        <v>0.36879477695756457</v>
      </c>
      <c r="AT561" s="113">
        <f t="shared" si="585"/>
        <v>0.36802049809839216</v>
      </c>
      <c r="AU561" s="113">
        <f t="shared" si="585"/>
        <v>0.37689036027629153</v>
      </c>
      <c r="AV561" s="113">
        <f t="shared" si="585"/>
        <v>0.39161084028040494</v>
      </c>
      <c r="AW561" s="113">
        <f t="shared" si="585"/>
        <v>0.40539774218545255</v>
      </c>
      <c r="AY561" s="111" t="s">
        <v>131</v>
      </c>
      <c r="AZ561" s="179">
        <f t="shared" si="580"/>
        <v>6.4235082620911444E-3</v>
      </c>
      <c r="BA561" s="179">
        <f t="shared" si="580"/>
        <v>6.4534516027585235E-3</v>
      </c>
      <c r="BB561" s="179">
        <f t="shared" si="580"/>
        <v>6.8847336819567772E-3</v>
      </c>
      <c r="BC561" s="179">
        <f t="shared" si="578"/>
        <v>7.7185138046595783E-3</v>
      </c>
      <c r="BD561" s="179">
        <f t="shared" si="578"/>
        <v>8.113485093066421E-3</v>
      </c>
      <c r="BE561" s="179">
        <f t="shared" si="578"/>
        <v>8.8324919543614107E-3</v>
      </c>
      <c r="BF561" s="179">
        <f t="shared" si="578"/>
        <v>6.7840264849732476E-3</v>
      </c>
      <c r="BG561" s="179">
        <f t="shared" si="578"/>
        <v>9.3986601667297182E-3</v>
      </c>
      <c r="BH561" s="179">
        <f t="shared" si="578"/>
        <v>7.2971593593381453E-3</v>
      </c>
    </row>
    <row r="562" spans="2:68" s="173" customFormat="1" x14ac:dyDescent="0.25">
      <c r="B562" s="172"/>
      <c r="C562" s="85"/>
      <c r="D562" s="85"/>
      <c r="E562" s="206" t="s">
        <v>5</v>
      </c>
      <c r="F562" s="207" t="s">
        <v>132</v>
      </c>
      <c r="G562" s="195" t="s">
        <v>7</v>
      </c>
      <c r="H562" s="274">
        <v>13066854</v>
      </c>
      <c r="I562" s="274">
        <v>13394724</v>
      </c>
      <c r="J562" s="274">
        <v>13679637</v>
      </c>
      <c r="K562" s="274">
        <v>14143044</v>
      </c>
      <c r="L562" s="274">
        <v>14486905</v>
      </c>
      <c r="M562" s="274">
        <v>14762270</v>
      </c>
      <c r="N562" s="274">
        <v>15086538</v>
      </c>
      <c r="O562" s="69">
        <v>15435987</v>
      </c>
      <c r="P562" s="69">
        <v>15783681</v>
      </c>
      <c r="R562" s="195" t="s">
        <v>7</v>
      </c>
      <c r="S562" s="226">
        <v>0.2</v>
      </c>
      <c r="T562" s="226">
        <v>2</v>
      </c>
      <c r="U562" s="226">
        <v>0.2</v>
      </c>
      <c r="V562" s="226">
        <v>0.2</v>
      </c>
      <c r="W562" s="226">
        <v>0.2</v>
      </c>
      <c r="X562" s="226">
        <v>0.2</v>
      </c>
      <c r="Y562" s="226">
        <v>0.2</v>
      </c>
      <c r="Z562" s="226">
        <v>0.2</v>
      </c>
      <c r="AA562" s="226">
        <v>0.2</v>
      </c>
      <c r="AC562" s="195" t="s">
        <v>7</v>
      </c>
      <c r="AD562" s="69">
        <f t="shared" si="564"/>
        <v>52267.416000000005</v>
      </c>
      <c r="AE562" s="69">
        <f t="shared" si="564"/>
        <v>535788.96</v>
      </c>
      <c r="AF562" s="69">
        <f t="shared" si="564"/>
        <v>54718.54800000001</v>
      </c>
      <c r="AG562" s="69">
        <f t="shared" si="564"/>
        <v>56572.176000000007</v>
      </c>
      <c r="AH562" s="69">
        <f t="shared" si="564"/>
        <v>57947.62</v>
      </c>
      <c r="AI562" s="69">
        <f t="shared" si="564"/>
        <v>59049.08</v>
      </c>
      <c r="AJ562" s="69">
        <f t="shared" si="564"/>
        <v>60346.152000000002</v>
      </c>
      <c r="AK562" s="69">
        <f t="shared" si="564"/>
        <v>61743.948000000004</v>
      </c>
      <c r="AL562" s="69">
        <f t="shared" si="564"/>
        <v>63134.724000000002</v>
      </c>
      <c r="AN562" s="195" t="s">
        <v>7</v>
      </c>
      <c r="AO562" s="98">
        <f t="shared" ref="AO562:AW562" si="586">H562/H562</f>
        <v>1</v>
      </c>
      <c r="AP562" s="98">
        <f t="shared" si="586"/>
        <v>1</v>
      </c>
      <c r="AQ562" s="98">
        <f t="shared" si="586"/>
        <v>1</v>
      </c>
      <c r="AR562" s="98">
        <f t="shared" si="586"/>
        <v>1</v>
      </c>
      <c r="AS562" s="98">
        <f t="shared" si="586"/>
        <v>1</v>
      </c>
      <c r="AT562" s="98">
        <f t="shared" si="586"/>
        <v>1</v>
      </c>
      <c r="AU562" s="98">
        <f t="shared" si="586"/>
        <v>1</v>
      </c>
      <c r="AV562" s="98">
        <f t="shared" si="586"/>
        <v>1</v>
      </c>
      <c r="AW562" s="98">
        <f t="shared" si="586"/>
        <v>1</v>
      </c>
      <c r="AX562" s="199"/>
      <c r="AY562" s="195" t="s">
        <v>7</v>
      </c>
      <c r="AZ562" s="178">
        <f t="shared" si="580"/>
        <v>4.0000000000000001E-3</v>
      </c>
      <c r="BA562" s="178">
        <f t="shared" si="580"/>
        <v>0.04</v>
      </c>
      <c r="BB562" s="178">
        <f t="shared" si="580"/>
        <v>4.0000000000000001E-3</v>
      </c>
      <c r="BC562" s="178">
        <f t="shared" si="578"/>
        <v>4.0000000000000001E-3</v>
      </c>
      <c r="BD562" s="178">
        <f t="shared" si="578"/>
        <v>4.0000000000000001E-3</v>
      </c>
      <c r="BE562" s="178">
        <f t="shared" si="578"/>
        <v>4.0000000000000001E-3</v>
      </c>
      <c r="BF562" s="178">
        <f t="shared" si="578"/>
        <v>4.0000000000000001E-3</v>
      </c>
      <c r="BG562" s="178">
        <f t="shared" si="578"/>
        <v>4.0000000000000001E-3</v>
      </c>
      <c r="BH562" s="178">
        <f t="shared" si="578"/>
        <v>4.0000000000000001E-3</v>
      </c>
      <c r="BI562" s="199"/>
      <c r="BJ562" s="199"/>
      <c r="BK562" s="199"/>
      <c r="BL562" s="199"/>
      <c r="BM562" s="199"/>
      <c r="BN562" s="199"/>
      <c r="BO562" s="199"/>
      <c r="BP562" s="199"/>
    </row>
    <row r="563" spans="2:68" x14ac:dyDescent="0.25">
      <c r="C563" s="108"/>
      <c r="D563" s="108"/>
      <c r="E563" s="109" t="s">
        <v>5</v>
      </c>
      <c r="F563" s="110" t="s">
        <v>132</v>
      </c>
      <c r="G563" s="111" t="s">
        <v>54</v>
      </c>
      <c r="H563" s="112">
        <v>3114744</v>
      </c>
      <c r="I563" s="112">
        <v>2814347</v>
      </c>
      <c r="J563" s="112">
        <v>2718490</v>
      </c>
      <c r="K563" s="112">
        <v>2687607</v>
      </c>
      <c r="L563" s="112">
        <v>2546204</v>
      </c>
      <c r="M563" s="112">
        <v>2585955</v>
      </c>
      <c r="N563" s="112">
        <v>2365343</v>
      </c>
      <c r="O563" s="112">
        <v>2287708</v>
      </c>
      <c r="P563" s="112">
        <v>2091596</v>
      </c>
      <c r="R563" s="111" t="s">
        <v>54</v>
      </c>
      <c r="S563" s="220">
        <v>1.1000000000000001</v>
      </c>
      <c r="T563" s="220">
        <v>1.6</v>
      </c>
      <c r="U563" s="220">
        <v>1.5</v>
      </c>
      <c r="V563" s="220">
        <v>1.6</v>
      </c>
      <c r="W563" s="220">
        <v>1.8</v>
      </c>
      <c r="X563" s="220">
        <v>1.9</v>
      </c>
      <c r="Y563" s="220">
        <v>1.9</v>
      </c>
      <c r="Z563" s="220">
        <v>2</v>
      </c>
      <c r="AA563" s="220">
        <v>1.9</v>
      </c>
      <c r="AC563" s="111" t="s">
        <v>54</v>
      </c>
      <c r="AD563" s="112">
        <f t="shared" si="564"/>
        <v>68524.368000000002</v>
      </c>
      <c r="AE563" s="112">
        <f t="shared" si="564"/>
        <v>90059.104000000007</v>
      </c>
      <c r="AF563" s="112">
        <f t="shared" si="564"/>
        <v>81554.7</v>
      </c>
      <c r="AG563" s="112">
        <f t="shared" si="564"/>
        <v>86003.423999999999</v>
      </c>
      <c r="AH563" s="112">
        <f t="shared" si="564"/>
        <v>91663.343999999997</v>
      </c>
      <c r="AI563" s="112">
        <f t="shared" si="564"/>
        <v>98266.29</v>
      </c>
      <c r="AJ563" s="112">
        <f t="shared" si="564"/>
        <v>89883.034</v>
      </c>
      <c r="AK563" s="112">
        <f t="shared" si="564"/>
        <v>91508.32</v>
      </c>
      <c r="AL563" s="112">
        <f t="shared" si="564"/>
        <v>79480.648000000001</v>
      </c>
      <c r="AN563" s="111" t="s">
        <v>54</v>
      </c>
      <c r="AO563" s="113">
        <f t="shared" ref="AO563:AW563" si="587">H563/H562</f>
        <v>0.23836984786085466</v>
      </c>
      <c r="AP563" s="113">
        <f t="shared" si="587"/>
        <v>0.2101086218723133</v>
      </c>
      <c r="AQ563" s="113">
        <f t="shared" si="587"/>
        <v>0.19872530243309819</v>
      </c>
      <c r="AR563" s="113">
        <f t="shared" si="587"/>
        <v>0.1900303074783618</v>
      </c>
      <c r="AS563" s="113">
        <f t="shared" si="587"/>
        <v>0.17575900442503076</v>
      </c>
      <c r="AT563" s="113">
        <f t="shared" si="587"/>
        <v>0.17517326264863059</v>
      </c>
      <c r="AU563" s="113">
        <f t="shared" si="587"/>
        <v>0.15678500925792252</v>
      </c>
      <c r="AV563" s="113">
        <f t="shared" si="587"/>
        <v>0.14820613673748234</v>
      </c>
      <c r="AW563" s="113">
        <f t="shared" si="587"/>
        <v>0.1325163629447402</v>
      </c>
      <c r="AY563" s="111" t="s">
        <v>54</v>
      </c>
      <c r="AZ563" s="179">
        <f t="shared" si="580"/>
        <v>5.2441366529388037E-3</v>
      </c>
      <c r="BA563" s="179">
        <f t="shared" si="580"/>
        <v>6.7234758999140266E-3</v>
      </c>
      <c r="BB563" s="179">
        <f t="shared" si="580"/>
        <v>5.9617590729929455E-3</v>
      </c>
      <c r="BC563" s="179">
        <f t="shared" si="578"/>
        <v>6.0809698393075786E-3</v>
      </c>
      <c r="BD563" s="179">
        <f t="shared" si="578"/>
        <v>6.3273241593011075E-3</v>
      </c>
      <c r="BE563" s="179">
        <f t="shared" si="578"/>
        <v>6.6565839806479619E-3</v>
      </c>
      <c r="BF563" s="179">
        <f t="shared" si="578"/>
        <v>5.9578303518010552E-3</v>
      </c>
      <c r="BG563" s="179">
        <f t="shared" si="578"/>
        <v>5.928245469499294E-3</v>
      </c>
      <c r="BH563" s="179">
        <f t="shared" si="578"/>
        <v>5.0356217919001276E-3</v>
      </c>
    </row>
    <row r="564" spans="2:68" x14ac:dyDescent="0.25">
      <c r="C564" s="108"/>
      <c r="D564" s="108"/>
      <c r="E564" s="109" t="s">
        <v>5</v>
      </c>
      <c r="F564" s="110" t="s">
        <v>132</v>
      </c>
      <c r="G564" s="111" t="s">
        <v>55</v>
      </c>
      <c r="H564" s="70">
        <v>2848072</v>
      </c>
      <c r="I564" s="70">
        <v>3100645</v>
      </c>
      <c r="J564" s="70">
        <v>3146857</v>
      </c>
      <c r="K564" s="70">
        <v>3209397</v>
      </c>
      <c r="L564" s="70">
        <v>3287583</v>
      </c>
      <c r="M564" s="70">
        <v>3292530</v>
      </c>
      <c r="N564" s="70">
        <v>3375161</v>
      </c>
      <c r="O564" s="112">
        <v>3440458</v>
      </c>
      <c r="P564" s="112">
        <v>3415572</v>
      </c>
      <c r="R564" s="111" t="s">
        <v>55</v>
      </c>
      <c r="S564" s="81">
        <v>1.4</v>
      </c>
      <c r="T564" s="81">
        <v>1.2</v>
      </c>
      <c r="U564" s="81">
        <v>1.2</v>
      </c>
      <c r="V564" s="81">
        <v>1.3</v>
      </c>
      <c r="W564" s="81">
        <v>1.4</v>
      </c>
      <c r="X564" s="81">
        <v>1.5</v>
      </c>
      <c r="Y564" s="81">
        <v>1.5</v>
      </c>
      <c r="Z564" s="81">
        <v>1.6</v>
      </c>
      <c r="AA564" s="81">
        <v>1.4</v>
      </c>
      <c r="AC564" s="111" t="s">
        <v>55</v>
      </c>
      <c r="AD564" s="70">
        <f t="shared" ref="AD564:AL566" si="588">2*(H564*S564/100)</f>
        <v>79746.016000000003</v>
      </c>
      <c r="AE564" s="70">
        <f t="shared" si="588"/>
        <v>74415.48</v>
      </c>
      <c r="AF564" s="70">
        <f t="shared" si="588"/>
        <v>75524.567999999999</v>
      </c>
      <c r="AG564" s="70">
        <f t="shared" si="588"/>
        <v>83444.322</v>
      </c>
      <c r="AH564" s="70">
        <f t="shared" si="588"/>
        <v>92052.323999999979</v>
      </c>
      <c r="AI564" s="70">
        <f t="shared" si="588"/>
        <v>98775.9</v>
      </c>
      <c r="AJ564" s="70">
        <f t="shared" si="588"/>
        <v>101254.83</v>
      </c>
      <c r="AK564" s="70">
        <f t="shared" si="588"/>
        <v>110094.65600000002</v>
      </c>
      <c r="AL564" s="70">
        <f t="shared" si="588"/>
        <v>95636.016000000003</v>
      </c>
      <c r="AN564" s="111" t="s">
        <v>55</v>
      </c>
      <c r="AO564" s="113">
        <f t="shared" ref="AO564:AW564" si="589">H564/H562</f>
        <v>0.21796156902036251</v>
      </c>
      <c r="AP564" s="113">
        <f t="shared" si="589"/>
        <v>0.23148255984968411</v>
      </c>
      <c r="AQ564" s="113">
        <f t="shared" si="589"/>
        <v>0.23003951055133992</v>
      </c>
      <c r="AR564" s="113">
        <f t="shared" si="589"/>
        <v>0.22692406245784147</v>
      </c>
      <c r="AS564" s="113">
        <f t="shared" si="589"/>
        <v>0.2269348076763118</v>
      </c>
      <c r="AT564" s="113">
        <f t="shared" si="589"/>
        <v>0.22303683647569106</v>
      </c>
      <c r="AU564" s="113">
        <f t="shared" si="589"/>
        <v>0.22372004763452025</v>
      </c>
      <c r="AV564" s="113">
        <f t="shared" si="589"/>
        <v>0.2228855206991299</v>
      </c>
      <c r="AW564" s="113">
        <f t="shared" si="589"/>
        <v>0.21639895028289027</v>
      </c>
      <c r="AY564" s="111" t="s">
        <v>55</v>
      </c>
      <c r="AZ564" s="179">
        <f t="shared" si="580"/>
        <v>6.1029239325701501E-3</v>
      </c>
      <c r="BA564" s="179">
        <f t="shared" si="580"/>
        <v>5.5555814363924183E-3</v>
      </c>
      <c r="BB564" s="179">
        <f t="shared" si="580"/>
        <v>5.5209482532321578E-3</v>
      </c>
      <c r="BC564" s="179">
        <f t="shared" si="578"/>
        <v>5.9000256239038788E-3</v>
      </c>
      <c r="BD564" s="179">
        <f t="shared" si="578"/>
        <v>6.3541746149367298E-3</v>
      </c>
      <c r="BE564" s="179">
        <f t="shared" si="578"/>
        <v>6.691105094270732E-3</v>
      </c>
      <c r="BF564" s="179">
        <f t="shared" si="578"/>
        <v>6.7116014290356076E-3</v>
      </c>
      <c r="BG564" s="179">
        <f t="shared" si="578"/>
        <v>7.1323366623721575E-3</v>
      </c>
      <c r="BH564" s="179">
        <f t="shared" si="578"/>
        <v>6.0591706079209271E-3</v>
      </c>
    </row>
    <row r="565" spans="2:68" x14ac:dyDescent="0.25">
      <c r="C565" s="108"/>
      <c r="D565" s="108"/>
      <c r="E565" s="109" t="s">
        <v>5</v>
      </c>
      <c r="F565" s="110" t="s">
        <v>132</v>
      </c>
      <c r="G565" s="111" t="s">
        <v>130</v>
      </c>
      <c r="H565" s="70">
        <v>1582490</v>
      </c>
      <c r="I565" s="70">
        <v>1765474</v>
      </c>
      <c r="J565" s="70">
        <v>1703284</v>
      </c>
      <c r="K565" s="70">
        <v>1581229</v>
      </c>
      <c r="L565" s="70">
        <v>1673412</v>
      </c>
      <c r="M565" s="70">
        <v>1725081</v>
      </c>
      <c r="N565" s="70">
        <v>1793557</v>
      </c>
      <c r="O565" s="112">
        <v>1852889</v>
      </c>
      <c r="P565" s="112">
        <v>1887862</v>
      </c>
      <c r="R565" s="111" t="s">
        <v>130</v>
      </c>
      <c r="S565" s="220">
        <v>1.7</v>
      </c>
      <c r="T565" s="220">
        <v>1.8</v>
      </c>
      <c r="U565" s="220">
        <v>1.8</v>
      </c>
      <c r="V565" s="220">
        <v>1.9</v>
      </c>
      <c r="W565" s="220">
        <v>2.1</v>
      </c>
      <c r="X565" s="220">
        <v>2.2000000000000002</v>
      </c>
      <c r="Y565" s="220">
        <v>2.2999999999999998</v>
      </c>
      <c r="Z565" s="220">
        <v>2.2999999999999998</v>
      </c>
      <c r="AA565" s="220">
        <v>2.1</v>
      </c>
      <c r="AC565" s="111" t="s">
        <v>130</v>
      </c>
      <c r="AD565" s="70">
        <f t="shared" si="588"/>
        <v>53804.66</v>
      </c>
      <c r="AE565" s="70">
        <f t="shared" si="588"/>
        <v>63557.064000000006</v>
      </c>
      <c r="AF565" s="70">
        <f t="shared" si="588"/>
        <v>61318.224000000002</v>
      </c>
      <c r="AG565" s="70">
        <f t="shared" si="588"/>
        <v>60086.70199999999</v>
      </c>
      <c r="AH565" s="70">
        <f t="shared" si="588"/>
        <v>70283.304000000004</v>
      </c>
      <c r="AI565" s="70">
        <f t="shared" si="588"/>
        <v>75903.563999999998</v>
      </c>
      <c r="AJ565" s="70">
        <f t="shared" si="588"/>
        <v>82503.621999999988</v>
      </c>
      <c r="AK565" s="70">
        <f t="shared" si="588"/>
        <v>85232.893999999986</v>
      </c>
      <c r="AL565" s="70">
        <f t="shared" si="588"/>
        <v>79290.203999999998</v>
      </c>
      <c r="AN565" s="111" t="s">
        <v>130</v>
      </c>
      <c r="AO565" s="113">
        <f t="shared" ref="AO565:AW565" si="590">H565/H562</f>
        <v>0.12110719228974319</v>
      </c>
      <c r="AP565" s="113">
        <f t="shared" si="590"/>
        <v>0.13180368628722772</v>
      </c>
      <c r="AQ565" s="113">
        <f t="shared" si="590"/>
        <v>0.12451236827409967</v>
      </c>
      <c r="AR565" s="113">
        <f t="shared" si="590"/>
        <v>0.11180259355765279</v>
      </c>
      <c r="AS565" s="113">
        <f t="shared" si="590"/>
        <v>0.1155120434626996</v>
      </c>
      <c r="AT565" s="113">
        <f t="shared" si="590"/>
        <v>0.11685743452734573</v>
      </c>
      <c r="AU565" s="113">
        <f t="shared" si="590"/>
        <v>0.11888459764592778</v>
      </c>
      <c r="AV565" s="113">
        <f t="shared" si="590"/>
        <v>0.12003696297489756</v>
      </c>
      <c r="AW565" s="113">
        <f t="shared" si="590"/>
        <v>0.11960847409422429</v>
      </c>
      <c r="AY565" s="111" t="s">
        <v>130</v>
      </c>
      <c r="AZ565" s="179">
        <f t="shared" si="580"/>
        <v>4.117644537851268E-3</v>
      </c>
      <c r="BA565" s="179">
        <f t="shared" si="580"/>
        <v>4.7449327063401985E-3</v>
      </c>
      <c r="BB565" s="179">
        <f t="shared" si="580"/>
        <v>4.4824452578675882E-3</v>
      </c>
      <c r="BC565" s="179">
        <f t="shared" si="578"/>
        <v>4.2484985551908064E-3</v>
      </c>
      <c r="BD565" s="179">
        <f t="shared" si="578"/>
        <v>4.851505825433383E-3</v>
      </c>
      <c r="BE565" s="179">
        <f t="shared" si="578"/>
        <v>5.141727119203212E-3</v>
      </c>
      <c r="BF565" s="179">
        <f t="shared" si="578"/>
        <v>5.468691491712677E-3</v>
      </c>
      <c r="BG565" s="179">
        <f t="shared" si="578"/>
        <v>5.521700296845288E-3</v>
      </c>
      <c r="BH565" s="179">
        <f t="shared" si="578"/>
        <v>5.02355591195742E-3</v>
      </c>
    </row>
    <row r="566" spans="2:68" x14ac:dyDescent="0.25">
      <c r="C566" s="108"/>
      <c r="D566" s="108"/>
      <c r="E566" s="109" t="s">
        <v>5</v>
      </c>
      <c r="F566" s="110" t="s">
        <v>132</v>
      </c>
      <c r="G566" s="111" t="s">
        <v>131</v>
      </c>
      <c r="H566" s="112">
        <v>5520350</v>
      </c>
      <c r="I566" s="112">
        <v>5710891</v>
      </c>
      <c r="J566" s="112">
        <v>6104051</v>
      </c>
      <c r="K566" s="112">
        <v>6659860</v>
      </c>
      <c r="L566" s="112">
        <v>6981875</v>
      </c>
      <c r="M566" s="112">
        <v>7159243</v>
      </c>
      <c r="N566" s="112">
        <v>7553367</v>
      </c>
      <c r="O566" s="112">
        <v>7854932</v>
      </c>
      <c r="P566" s="112">
        <v>8388653</v>
      </c>
      <c r="R566" s="111" t="s">
        <v>131</v>
      </c>
      <c r="S566" s="220">
        <v>0.9</v>
      </c>
      <c r="T566" s="220">
        <v>0.9</v>
      </c>
      <c r="U566" s="220">
        <v>0.8</v>
      </c>
      <c r="V566" s="220">
        <v>0.9</v>
      </c>
      <c r="W566" s="220">
        <v>0.9</v>
      </c>
      <c r="X566" s="220">
        <v>0.9</v>
      </c>
      <c r="Y566" s="220">
        <v>0.8</v>
      </c>
      <c r="Z566" s="220">
        <v>1</v>
      </c>
      <c r="AA566" s="220">
        <v>0.6</v>
      </c>
      <c r="AC566" s="111" t="s">
        <v>131</v>
      </c>
      <c r="AD566" s="112">
        <f t="shared" si="588"/>
        <v>99366.3</v>
      </c>
      <c r="AE566" s="112">
        <f t="shared" si="588"/>
        <v>102796.038</v>
      </c>
      <c r="AF566" s="112">
        <f t="shared" si="588"/>
        <v>97664.815999999992</v>
      </c>
      <c r="AG566" s="112">
        <f t="shared" si="588"/>
        <v>119877.48</v>
      </c>
      <c r="AH566" s="112">
        <f t="shared" si="588"/>
        <v>125673.75</v>
      </c>
      <c r="AI566" s="112">
        <f t="shared" si="588"/>
        <v>128866.37400000001</v>
      </c>
      <c r="AJ566" s="112">
        <f t="shared" si="588"/>
        <v>120853.87200000002</v>
      </c>
      <c r="AK566" s="112">
        <f t="shared" si="588"/>
        <v>157098.64000000001</v>
      </c>
      <c r="AL566" s="112">
        <f t="shared" si="588"/>
        <v>100663.836</v>
      </c>
      <c r="AN566" s="111" t="s">
        <v>131</v>
      </c>
      <c r="AO566" s="113">
        <f t="shared" ref="AO566:AW566" si="591">H566/H562</f>
        <v>0.42246970846999593</v>
      </c>
      <c r="AP566" s="113">
        <f t="shared" si="591"/>
        <v>0.42635376436274464</v>
      </c>
      <c r="AQ566" s="113">
        <f t="shared" si="591"/>
        <v>0.44621439881774638</v>
      </c>
      <c r="AR566" s="113">
        <f t="shared" si="591"/>
        <v>0.47089297042418876</v>
      </c>
      <c r="AS566" s="113">
        <f t="shared" si="591"/>
        <v>0.48194386585678584</v>
      </c>
      <c r="AT566" s="113">
        <f t="shared" si="591"/>
        <v>0.48496897834818087</v>
      </c>
      <c r="AU566" s="113">
        <f t="shared" si="591"/>
        <v>0.50066933845259931</v>
      </c>
      <c r="AV566" s="113">
        <f t="shared" si="591"/>
        <v>0.50887137958849016</v>
      </c>
      <c r="AW566" s="113">
        <f t="shared" si="591"/>
        <v>0.53147633939129912</v>
      </c>
      <c r="AY566" s="111" t="s">
        <v>131</v>
      </c>
      <c r="AZ566" s="179">
        <f t="shared" si="580"/>
        <v>7.6044547524599269E-3</v>
      </c>
      <c r="BA566" s="179">
        <f t="shared" si="580"/>
        <v>7.6743677585294039E-3</v>
      </c>
      <c r="BB566" s="179">
        <f t="shared" si="580"/>
        <v>7.1394303810839417E-3</v>
      </c>
      <c r="BC566" s="179">
        <f t="shared" si="578"/>
        <v>8.4760734676353981E-3</v>
      </c>
      <c r="BD566" s="179">
        <f t="shared" si="578"/>
        <v>8.6749895854221441E-3</v>
      </c>
      <c r="BE566" s="179">
        <f t="shared" si="578"/>
        <v>8.7294416102672561E-3</v>
      </c>
      <c r="BF566" s="179">
        <f t="shared" si="578"/>
        <v>8.0107094152415889E-3</v>
      </c>
      <c r="BG566" s="179">
        <f t="shared" si="578"/>
        <v>1.0177427591769803E-2</v>
      </c>
      <c r="BH566" s="179">
        <f t="shared" si="578"/>
        <v>6.3777160726955894E-3</v>
      </c>
    </row>
    <row r="567" spans="2:68" x14ac:dyDescent="0.25">
      <c r="E567" s="190"/>
      <c r="F567" s="110"/>
      <c r="G567" s="190"/>
      <c r="H567" s="69"/>
      <c r="I567" s="69"/>
      <c r="J567" s="69"/>
      <c r="K567" s="69"/>
      <c r="L567" s="69"/>
      <c r="M567" s="69"/>
      <c r="N567" s="69"/>
      <c r="O567" s="69"/>
      <c r="P567" s="69"/>
      <c r="AO567" s="80"/>
      <c r="AP567" s="80"/>
      <c r="AQ567" s="80"/>
      <c r="AR567" s="80"/>
      <c r="AS567" s="80"/>
      <c r="AT567" s="80"/>
    </row>
    <row r="568" spans="2:68" x14ac:dyDescent="0.25">
      <c r="E568" s="190"/>
      <c r="F568" s="110"/>
      <c r="G568" s="190"/>
      <c r="H568" s="112"/>
      <c r="I568" s="112"/>
      <c r="J568" s="112"/>
      <c r="K568" s="112"/>
      <c r="L568" s="112"/>
      <c r="M568" s="112"/>
      <c r="N568" s="112"/>
      <c r="O568" s="112"/>
      <c r="P568" s="112"/>
      <c r="AO568" s="80"/>
      <c r="AP568" s="80"/>
      <c r="AQ568" s="80"/>
      <c r="AR568" s="80"/>
      <c r="AS568" s="80"/>
      <c r="AT568" s="80"/>
    </row>
    <row r="569" spans="2:68" x14ac:dyDescent="0.25">
      <c r="E569" s="190"/>
      <c r="F569" s="110"/>
      <c r="G569" s="190"/>
      <c r="H569" s="70"/>
      <c r="I569" s="70"/>
      <c r="J569" s="70"/>
      <c r="K569" s="70"/>
      <c r="L569" s="70"/>
      <c r="M569" s="70"/>
      <c r="N569" s="70"/>
      <c r="O569" s="112"/>
      <c r="P569" s="112"/>
      <c r="AO569" s="80"/>
      <c r="AP569" s="80"/>
      <c r="AQ569" s="80"/>
      <c r="AR569" s="80"/>
      <c r="AS569" s="80"/>
      <c r="AT569" s="80"/>
    </row>
    <row r="570" spans="2:68" x14ac:dyDescent="0.25">
      <c r="E570" s="190"/>
      <c r="F570" s="110"/>
      <c r="G570" s="190"/>
      <c r="H570" s="70"/>
      <c r="I570" s="70"/>
      <c r="J570" s="70"/>
      <c r="K570" s="70"/>
      <c r="L570" s="70"/>
      <c r="M570" s="70"/>
      <c r="N570" s="70"/>
      <c r="O570" s="112"/>
      <c r="P570" s="112"/>
      <c r="AO570" s="80"/>
      <c r="AP570" s="80"/>
      <c r="AQ570" s="80"/>
      <c r="AR570" s="80"/>
      <c r="AS570" s="80"/>
      <c r="AT570" s="80"/>
    </row>
    <row r="571" spans="2:68" x14ac:dyDescent="0.25">
      <c r="E571" s="190"/>
      <c r="F571" s="110"/>
      <c r="G571" s="190"/>
      <c r="H571" s="112"/>
      <c r="I571" s="112"/>
      <c r="J571" s="112"/>
      <c r="K571" s="112"/>
      <c r="L571" s="112"/>
      <c r="M571" s="112"/>
      <c r="N571" s="112"/>
      <c r="O571" s="112"/>
      <c r="P571" s="112"/>
      <c r="AO571" s="80"/>
      <c r="AP571" s="80"/>
      <c r="AQ571" s="80"/>
      <c r="AR571" s="80"/>
      <c r="AS571" s="80"/>
      <c r="AT571" s="80"/>
    </row>
    <row r="572" spans="2:68" x14ac:dyDescent="0.25">
      <c r="E572" s="190"/>
      <c r="F572" s="110"/>
      <c r="G572" s="190"/>
      <c r="H572" s="69"/>
      <c r="I572" s="69"/>
      <c r="J572" s="69"/>
      <c r="K572" s="69"/>
      <c r="L572" s="69"/>
      <c r="M572" s="69"/>
      <c r="N572" s="69"/>
      <c r="O572" s="69"/>
      <c r="P572" s="69"/>
      <c r="AO572" s="80"/>
      <c r="AP572" s="80"/>
      <c r="AQ572" s="80"/>
      <c r="AR572" s="80"/>
      <c r="AS572" s="80"/>
      <c r="AT572" s="80"/>
    </row>
    <row r="573" spans="2:68" x14ac:dyDescent="0.25">
      <c r="E573" s="190"/>
      <c r="F573" s="110"/>
      <c r="G573" s="190"/>
      <c r="H573" s="112"/>
      <c r="I573" s="112"/>
      <c r="J573" s="112"/>
      <c r="K573" s="112"/>
      <c r="L573" s="112"/>
      <c r="M573" s="112"/>
      <c r="N573" s="112"/>
      <c r="O573" s="112"/>
      <c r="P573" s="112"/>
      <c r="AO573" s="80"/>
      <c r="AP573" s="80"/>
      <c r="AQ573" s="80"/>
      <c r="AR573" s="80"/>
      <c r="AS573" s="80"/>
      <c r="AT573" s="80"/>
    </row>
    <row r="574" spans="2:68" x14ac:dyDescent="0.25">
      <c r="E574" s="190"/>
      <c r="F574" s="110"/>
      <c r="G574" s="190"/>
      <c r="H574" s="70"/>
      <c r="I574" s="70"/>
      <c r="J574" s="70"/>
      <c r="K574" s="70"/>
      <c r="L574" s="70"/>
      <c r="M574" s="70"/>
      <c r="N574" s="70"/>
      <c r="O574" s="112"/>
      <c r="P574" s="112"/>
      <c r="AO574" s="80"/>
      <c r="AP574" s="80"/>
      <c r="AQ574" s="80"/>
      <c r="AR574" s="80"/>
      <c r="AS574" s="80"/>
      <c r="AT574" s="80"/>
    </row>
    <row r="575" spans="2:68" x14ac:dyDescent="0.25">
      <c r="E575" s="190"/>
      <c r="F575" s="110"/>
      <c r="G575" s="190"/>
      <c r="H575" s="70"/>
      <c r="I575" s="70"/>
      <c r="J575" s="70"/>
      <c r="K575" s="70"/>
      <c r="L575" s="70"/>
      <c r="M575" s="70"/>
      <c r="N575" s="70"/>
      <c r="O575" s="112"/>
      <c r="P575" s="112"/>
      <c r="AO575" s="80"/>
      <c r="AP575" s="80"/>
      <c r="AQ575" s="80"/>
      <c r="AR575" s="80"/>
      <c r="AS575" s="80"/>
      <c r="AT575" s="80"/>
    </row>
    <row r="576" spans="2:68" x14ac:dyDescent="0.25">
      <c r="E576" s="190"/>
      <c r="F576" s="110"/>
      <c r="G576" s="190"/>
      <c r="H576" s="112"/>
      <c r="I576" s="112"/>
      <c r="J576" s="112"/>
      <c r="K576" s="112"/>
      <c r="L576" s="112"/>
      <c r="M576" s="112"/>
      <c r="N576" s="112"/>
      <c r="O576" s="112"/>
      <c r="P576" s="112"/>
      <c r="S576" s="124"/>
      <c r="T576" s="124"/>
      <c r="AO576" s="80"/>
      <c r="AP576" s="80"/>
      <c r="AQ576" s="80"/>
      <c r="AR576" s="80"/>
      <c r="AS576" s="80"/>
      <c r="AT576" s="80"/>
    </row>
    <row r="577" spans="5:46" x14ac:dyDescent="0.25">
      <c r="E577" s="190"/>
      <c r="F577" s="110"/>
      <c r="G577" s="190"/>
      <c r="H577" s="69"/>
      <c r="I577" s="69"/>
      <c r="J577" s="69"/>
      <c r="K577" s="69"/>
      <c r="L577" s="69"/>
      <c r="M577" s="69"/>
      <c r="N577" s="69"/>
      <c r="O577" s="69"/>
      <c r="P577" s="69"/>
      <c r="S577" s="126"/>
      <c r="T577" s="126"/>
      <c r="AO577" s="80"/>
      <c r="AP577" s="80"/>
      <c r="AQ577" s="80"/>
      <c r="AR577" s="80"/>
      <c r="AS577" s="80"/>
      <c r="AT577" s="80"/>
    </row>
    <row r="578" spans="5:46" x14ac:dyDescent="0.25">
      <c r="E578" s="190"/>
      <c r="F578" s="110"/>
      <c r="G578" s="190"/>
      <c r="H578" s="112"/>
      <c r="I578" s="112"/>
      <c r="J578" s="112"/>
      <c r="K578" s="112"/>
      <c r="L578" s="112"/>
      <c r="M578" s="112"/>
      <c r="N578" s="112"/>
      <c r="O578" s="112"/>
      <c r="P578" s="112"/>
      <c r="S578" s="127"/>
      <c r="T578" s="127"/>
      <c r="AO578" s="80"/>
      <c r="AP578" s="80"/>
      <c r="AQ578" s="80"/>
      <c r="AR578" s="80"/>
      <c r="AS578" s="80"/>
      <c r="AT578" s="80"/>
    </row>
    <row r="579" spans="5:46" x14ac:dyDescent="0.25">
      <c r="E579" s="190"/>
      <c r="F579" s="110"/>
      <c r="G579" s="190"/>
      <c r="H579" s="70"/>
      <c r="I579" s="70"/>
      <c r="J579" s="70"/>
      <c r="K579" s="70"/>
      <c r="L579" s="70"/>
      <c r="M579" s="70"/>
      <c r="N579" s="70"/>
      <c r="O579" s="112"/>
      <c r="P579" s="112"/>
      <c r="S579" s="127"/>
      <c r="T579" s="127"/>
      <c r="AO579" s="80"/>
      <c r="AP579" s="80"/>
      <c r="AQ579" s="80"/>
      <c r="AR579" s="80"/>
      <c r="AS579" s="80"/>
      <c r="AT579" s="80"/>
    </row>
    <row r="580" spans="5:46" x14ac:dyDescent="0.25">
      <c r="E580" s="190"/>
      <c r="F580" s="110"/>
      <c r="G580" s="190"/>
      <c r="H580" s="70"/>
      <c r="I580" s="70"/>
      <c r="J580" s="70"/>
      <c r="K580" s="70"/>
      <c r="L580" s="70"/>
      <c r="M580" s="70"/>
      <c r="N580" s="70"/>
      <c r="O580" s="112"/>
      <c r="P580" s="112"/>
      <c r="S580" s="126"/>
      <c r="T580" s="126"/>
      <c r="AO580" s="80"/>
      <c r="AP580" s="80"/>
      <c r="AQ580" s="80"/>
      <c r="AR580" s="80"/>
      <c r="AS580" s="80"/>
      <c r="AT580" s="80"/>
    </row>
    <row r="581" spans="5:46" x14ac:dyDescent="0.25">
      <c r="E581" s="190"/>
      <c r="F581" s="110"/>
      <c r="G581" s="190"/>
      <c r="H581" s="112"/>
      <c r="I581" s="112"/>
      <c r="J581" s="112"/>
      <c r="K581" s="112"/>
      <c r="L581" s="112"/>
      <c r="M581" s="112"/>
      <c r="N581" s="112"/>
      <c r="O581" s="112"/>
      <c r="P581" s="112"/>
      <c r="S581" s="124"/>
      <c r="T581" s="124"/>
      <c r="AO581" s="80"/>
      <c r="AP581" s="80"/>
      <c r="AQ581" s="80"/>
      <c r="AR581" s="80"/>
      <c r="AS581" s="80"/>
      <c r="AT581" s="80"/>
    </row>
    <row r="582" spans="5:46" x14ac:dyDescent="0.25">
      <c r="E582" s="190"/>
      <c r="F582" s="110"/>
      <c r="G582" s="190"/>
      <c r="H582" s="70"/>
      <c r="I582" s="70"/>
      <c r="J582" s="70"/>
      <c r="K582" s="70"/>
      <c r="L582" s="70"/>
      <c r="M582" s="70"/>
      <c r="S582" s="126"/>
      <c r="T582" s="126"/>
      <c r="AO582" s="80"/>
      <c r="AP582" s="80"/>
      <c r="AQ582" s="80"/>
      <c r="AR582" s="80"/>
      <c r="AS582" s="80"/>
      <c r="AT582" s="80"/>
    </row>
    <row r="583" spans="5:46" x14ac:dyDescent="0.25">
      <c r="E583" s="190"/>
      <c r="F583" s="110"/>
      <c r="G583" s="190"/>
      <c r="H583" s="70"/>
      <c r="I583" s="70"/>
      <c r="J583" s="70"/>
      <c r="K583" s="70"/>
      <c r="L583" s="70"/>
      <c r="M583" s="70"/>
      <c r="S583" s="127"/>
      <c r="T583" s="127"/>
      <c r="AO583" s="80"/>
      <c r="AP583" s="80"/>
      <c r="AQ583" s="80"/>
      <c r="AR583" s="80"/>
      <c r="AS583" s="80"/>
      <c r="AT583" s="80"/>
    </row>
    <row r="584" spans="5:46" x14ac:dyDescent="0.25">
      <c r="E584" s="190"/>
      <c r="F584" s="110"/>
      <c r="G584" s="190"/>
      <c r="H584" s="70"/>
      <c r="I584" s="70"/>
      <c r="J584" s="70"/>
      <c r="K584" s="70"/>
      <c r="L584" s="70"/>
      <c r="M584" s="70"/>
      <c r="S584" s="127"/>
      <c r="T584" s="127"/>
      <c r="AO584" s="80"/>
      <c r="AP584" s="80"/>
      <c r="AQ584" s="80"/>
      <c r="AR584" s="80"/>
      <c r="AS584" s="80"/>
      <c r="AT584" s="80"/>
    </row>
    <row r="585" spans="5:46" x14ac:dyDescent="0.25">
      <c r="E585" s="190"/>
      <c r="F585" s="110"/>
      <c r="G585" s="190"/>
      <c r="H585" s="70"/>
      <c r="I585" s="70"/>
      <c r="J585" s="70"/>
      <c r="K585" s="70"/>
      <c r="L585" s="70"/>
      <c r="M585" s="70"/>
      <c r="S585" s="126"/>
      <c r="T585" s="126"/>
      <c r="AO585" s="80"/>
      <c r="AP585" s="80"/>
      <c r="AQ585" s="80"/>
      <c r="AR585" s="80"/>
      <c r="AS585" s="80"/>
      <c r="AT585" s="80"/>
    </row>
    <row r="586" spans="5:46" x14ac:dyDescent="0.25">
      <c r="E586" s="190"/>
      <c r="F586" s="110"/>
      <c r="G586" s="190"/>
      <c r="H586" s="70"/>
      <c r="I586" s="70"/>
      <c r="J586" s="70"/>
      <c r="K586" s="70"/>
      <c r="L586" s="70"/>
      <c r="M586" s="70"/>
      <c r="S586" s="124"/>
      <c r="T586" s="124"/>
      <c r="AO586" s="80"/>
      <c r="AP586" s="80"/>
      <c r="AQ586" s="80"/>
      <c r="AR586" s="80"/>
      <c r="AS586" s="80"/>
      <c r="AT586" s="80"/>
    </row>
    <row r="587" spans="5:46" x14ac:dyDescent="0.25">
      <c r="E587" s="190"/>
      <c r="F587" s="110"/>
      <c r="G587" s="190"/>
      <c r="H587" s="70"/>
      <c r="I587" s="70"/>
      <c r="J587" s="70"/>
      <c r="K587" s="70"/>
      <c r="L587" s="70"/>
      <c r="M587" s="70"/>
      <c r="S587" s="126"/>
      <c r="T587" s="126"/>
      <c r="AO587" s="80"/>
      <c r="AP587" s="80"/>
      <c r="AQ587" s="80"/>
      <c r="AR587" s="80"/>
      <c r="AS587" s="80"/>
      <c r="AT587" s="80"/>
    </row>
    <row r="588" spans="5:46" x14ac:dyDescent="0.25">
      <c r="E588" s="190"/>
      <c r="F588" s="110"/>
      <c r="G588" s="190"/>
      <c r="H588" s="70"/>
      <c r="I588" s="70"/>
      <c r="J588" s="70"/>
      <c r="K588" s="70"/>
      <c r="L588" s="70"/>
      <c r="M588" s="70"/>
      <c r="S588" s="127"/>
      <c r="T588" s="127"/>
      <c r="AO588" s="80"/>
      <c r="AP588" s="80"/>
      <c r="AQ588" s="80"/>
      <c r="AR588" s="80"/>
      <c r="AS588" s="80"/>
      <c r="AT588" s="80"/>
    </row>
    <row r="589" spans="5:46" x14ac:dyDescent="0.25">
      <c r="E589" s="190"/>
      <c r="F589" s="110"/>
      <c r="G589" s="190"/>
      <c r="H589" s="70"/>
      <c r="I589" s="70"/>
      <c r="J589" s="70"/>
      <c r="K589" s="70"/>
      <c r="L589" s="70"/>
      <c r="M589" s="70"/>
      <c r="S589" s="127"/>
      <c r="T589" s="127"/>
      <c r="AO589" s="80"/>
      <c r="AP589" s="80"/>
      <c r="AQ589" s="80"/>
      <c r="AR589" s="80"/>
      <c r="AS589" s="80"/>
      <c r="AT589" s="80"/>
    </row>
    <row r="590" spans="5:46" x14ac:dyDescent="0.25">
      <c r="E590" s="190"/>
      <c r="F590" s="110"/>
      <c r="G590" s="190"/>
      <c r="H590" s="70"/>
      <c r="I590" s="70"/>
      <c r="J590" s="70"/>
      <c r="K590" s="70"/>
      <c r="L590" s="70"/>
      <c r="M590" s="70"/>
      <c r="S590" s="126"/>
      <c r="T590" s="126"/>
      <c r="AO590" s="80"/>
      <c r="AP590" s="80"/>
      <c r="AQ590" s="80"/>
      <c r="AR590" s="80"/>
      <c r="AS590" s="80"/>
      <c r="AT590" s="80"/>
    </row>
    <row r="591" spans="5:46" x14ac:dyDescent="0.25">
      <c r="E591" s="190"/>
      <c r="F591" s="110"/>
      <c r="G591" s="190"/>
      <c r="H591" s="70"/>
      <c r="I591" s="70"/>
      <c r="J591" s="70"/>
      <c r="K591" s="70"/>
      <c r="L591" s="70"/>
      <c r="M591" s="70"/>
      <c r="S591" s="124"/>
      <c r="T591" s="124"/>
      <c r="AO591" s="80"/>
      <c r="AP591" s="80"/>
      <c r="AQ591" s="80"/>
      <c r="AR591" s="80"/>
      <c r="AS591" s="80"/>
      <c r="AT591" s="80"/>
    </row>
    <row r="592" spans="5:46" x14ac:dyDescent="0.25">
      <c r="E592" s="190"/>
      <c r="F592" s="110"/>
      <c r="G592" s="190"/>
      <c r="H592" s="70"/>
      <c r="I592" s="70"/>
      <c r="J592" s="70"/>
      <c r="K592" s="70"/>
      <c r="L592" s="70"/>
      <c r="M592" s="70"/>
      <c r="S592" s="126"/>
      <c r="T592" s="126"/>
      <c r="AO592" s="80"/>
      <c r="AP592" s="80"/>
      <c r="AQ592" s="80"/>
      <c r="AR592" s="80"/>
      <c r="AS592" s="80"/>
      <c r="AT592" s="80"/>
    </row>
    <row r="593" spans="5:46" x14ac:dyDescent="0.25">
      <c r="E593" s="190"/>
      <c r="F593" s="110"/>
      <c r="G593" s="190"/>
      <c r="H593" s="70"/>
      <c r="I593" s="70"/>
      <c r="J593" s="70"/>
      <c r="K593" s="70"/>
      <c r="L593" s="70"/>
      <c r="M593" s="70"/>
      <c r="S593" s="127"/>
      <c r="T593" s="127"/>
      <c r="AO593" s="80"/>
      <c r="AP593" s="80"/>
      <c r="AQ593" s="80"/>
      <c r="AR593" s="80"/>
      <c r="AS593" s="80"/>
      <c r="AT593" s="80"/>
    </row>
    <row r="594" spans="5:46" x14ac:dyDescent="0.25">
      <c r="E594" s="190"/>
      <c r="F594" s="110"/>
      <c r="G594" s="190"/>
      <c r="H594" s="70"/>
      <c r="I594" s="70"/>
      <c r="J594" s="70"/>
      <c r="K594" s="70"/>
      <c r="L594" s="70"/>
      <c r="M594" s="70"/>
      <c r="S594" s="127"/>
      <c r="T594" s="127"/>
      <c r="AO594" s="80"/>
      <c r="AP594" s="80"/>
      <c r="AQ594" s="80"/>
      <c r="AR594" s="80"/>
      <c r="AS594" s="80"/>
      <c r="AT594" s="80"/>
    </row>
    <row r="595" spans="5:46" x14ac:dyDescent="0.25">
      <c r="E595" s="190"/>
      <c r="F595" s="110"/>
      <c r="G595" s="190"/>
      <c r="H595" s="70"/>
      <c r="I595" s="70"/>
      <c r="J595" s="70"/>
      <c r="K595" s="70"/>
      <c r="L595" s="70"/>
      <c r="M595" s="70"/>
      <c r="S595" s="126"/>
      <c r="T595" s="126"/>
      <c r="AO595" s="80"/>
      <c r="AP595" s="80"/>
      <c r="AQ595" s="80"/>
      <c r="AR595" s="80"/>
      <c r="AS595" s="80"/>
      <c r="AT595" s="80"/>
    </row>
    <row r="596" spans="5:46" x14ac:dyDescent="0.25">
      <c r="E596" s="190"/>
      <c r="F596" s="110"/>
      <c r="G596" s="190"/>
      <c r="H596" s="70"/>
      <c r="I596" s="70"/>
      <c r="J596" s="70"/>
      <c r="K596" s="70"/>
      <c r="L596" s="70"/>
      <c r="M596" s="70"/>
      <c r="S596" s="124"/>
      <c r="T596" s="124"/>
      <c r="AO596" s="80"/>
      <c r="AP596" s="80"/>
      <c r="AQ596" s="80"/>
      <c r="AR596" s="80"/>
      <c r="AS596" s="80"/>
      <c r="AT596" s="80"/>
    </row>
    <row r="597" spans="5:46" x14ac:dyDescent="0.25">
      <c r="E597" s="190"/>
      <c r="F597" s="110"/>
      <c r="G597" s="190"/>
      <c r="H597" s="70"/>
      <c r="I597" s="70"/>
      <c r="J597" s="70"/>
      <c r="K597" s="70"/>
      <c r="L597" s="70"/>
      <c r="M597" s="70"/>
      <c r="S597" s="126"/>
      <c r="T597" s="126"/>
      <c r="AO597" s="80"/>
      <c r="AP597" s="80"/>
      <c r="AQ597" s="80"/>
      <c r="AR597" s="80"/>
      <c r="AS597" s="80"/>
      <c r="AT597" s="80"/>
    </row>
    <row r="598" spans="5:46" x14ac:dyDescent="0.25">
      <c r="E598" s="190"/>
      <c r="F598" s="110"/>
      <c r="G598" s="190"/>
      <c r="H598" s="70"/>
      <c r="I598" s="70"/>
      <c r="J598" s="70"/>
      <c r="K598" s="70"/>
      <c r="L598" s="70"/>
      <c r="M598" s="70"/>
      <c r="S598" s="127"/>
      <c r="T598" s="127"/>
      <c r="AO598" s="80"/>
      <c r="AP598" s="80"/>
      <c r="AQ598" s="80"/>
      <c r="AR598" s="80"/>
      <c r="AS598" s="80"/>
      <c r="AT598" s="80"/>
    </row>
    <row r="599" spans="5:46" x14ac:dyDescent="0.25">
      <c r="E599" s="190"/>
      <c r="F599" s="110"/>
      <c r="G599" s="190"/>
      <c r="H599" s="70"/>
      <c r="I599" s="70"/>
      <c r="J599" s="70"/>
      <c r="K599" s="70"/>
      <c r="L599" s="70"/>
      <c r="M599" s="70"/>
      <c r="S599" s="127"/>
      <c r="T599" s="127"/>
      <c r="AO599" s="80"/>
      <c r="AP599" s="80"/>
      <c r="AQ599" s="80"/>
      <c r="AR599" s="80"/>
      <c r="AS599" s="80"/>
      <c r="AT599" s="80"/>
    </row>
    <row r="600" spans="5:46" x14ac:dyDescent="0.25">
      <c r="E600" s="190"/>
      <c r="F600" s="110"/>
      <c r="G600" s="190"/>
      <c r="H600" s="70"/>
      <c r="I600" s="70"/>
      <c r="J600" s="70"/>
      <c r="K600" s="70"/>
      <c r="L600" s="70"/>
      <c r="M600" s="70"/>
      <c r="S600" s="126"/>
      <c r="T600" s="126"/>
      <c r="AO600" s="80"/>
      <c r="AP600" s="80"/>
      <c r="AQ600" s="80"/>
      <c r="AR600" s="80"/>
      <c r="AS600" s="80"/>
      <c r="AT600" s="80"/>
    </row>
    <row r="601" spans="5:46" x14ac:dyDescent="0.25">
      <c r="E601" s="190"/>
      <c r="F601" s="110"/>
      <c r="G601" s="190"/>
      <c r="H601" s="70"/>
      <c r="I601" s="70"/>
      <c r="J601" s="70"/>
      <c r="K601" s="70"/>
      <c r="L601" s="70"/>
      <c r="M601" s="70"/>
      <c r="S601" s="128"/>
      <c r="T601" s="128"/>
      <c r="AO601" s="80"/>
      <c r="AP601" s="80"/>
      <c r="AQ601" s="80"/>
      <c r="AR601" s="80"/>
      <c r="AS601" s="80"/>
      <c r="AT601" s="80"/>
    </row>
    <row r="602" spans="5:46" x14ac:dyDescent="0.25">
      <c r="E602" s="190"/>
      <c r="F602" s="110"/>
      <c r="G602" s="190"/>
      <c r="H602" s="70"/>
      <c r="I602" s="70"/>
      <c r="J602" s="70"/>
      <c r="K602" s="70"/>
      <c r="L602" s="70"/>
      <c r="M602" s="70"/>
      <c r="S602" s="128"/>
      <c r="T602" s="128"/>
      <c r="AO602" s="80"/>
      <c r="AP602" s="80"/>
      <c r="AQ602" s="80"/>
      <c r="AR602" s="80"/>
      <c r="AS602" s="80"/>
      <c r="AT602" s="80"/>
    </row>
    <row r="603" spans="5:46" x14ac:dyDescent="0.25">
      <c r="E603" s="190"/>
      <c r="F603" s="110"/>
      <c r="G603" s="190"/>
      <c r="H603" s="70"/>
      <c r="I603" s="70"/>
      <c r="J603" s="70"/>
      <c r="K603" s="70"/>
      <c r="L603" s="70"/>
      <c r="M603" s="70"/>
      <c r="S603" s="128"/>
      <c r="T603" s="128"/>
      <c r="AO603" s="80"/>
      <c r="AP603" s="80"/>
      <c r="AQ603" s="80"/>
      <c r="AR603" s="80"/>
      <c r="AS603" s="80"/>
      <c r="AT603" s="80"/>
    </row>
    <row r="604" spans="5:46" x14ac:dyDescent="0.25">
      <c r="E604" s="190"/>
      <c r="F604" s="110"/>
      <c r="G604" s="190"/>
      <c r="H604" s="70"/>
      <c r="I604" s="70"/>
      <c r="J604" s="70"/>
      <c r="K604" s="70"/>
      <c r="L604" s="70"/>
      <c r="M604" s="70"/>
      <c r="S604" s="128"/>
      <c r="T604" s="128"/>
      <c r="AO604" s="80"/>
      <c r="AP604" s="80"/>
      <c r="AQ604" s="80"/>
      <c r="AR604" s="80"/>
      <c r="AS604" s="80"/>
      <c r="AT604" s="80"/>
    </row>
    <row r="605" spans="5:46" x14ac:dyDescent="0.25">
      <c r="E605" s="190"/>
      <c r="F605" s="110"/>
      <c r="G605" s="190"/>
      <c r="H605" s="70"/>
      <c r="I605" s="70"/>
      <c r="J605" s="70"/>
      <c r="K605" s="70"/>
      <c r="L605" s="70"/>
      <c r="M605" s="70"/>
      <c r="S605" s="128"/>
      <c r="T605" s="128"/>
      <c r="AO605" s="80"/>
      <c r="AP605" s="80"/>
      <c r="AQ605" s="80"/>
      <c r="AR605" s="80"/>
      <c r="AS605" s="80"/>
      <c r="AT605" s="80"/>
    </row>
    <row r="606" spans="5:46" x14ac:dyDescent="0.25">
      <c r="E606" s="190"/>
      <c r="F606" s="110"/>
      <c r="G606" s="190"/>
      <c r="H606" s="70"/>
      <c r="I606" s="70"/>
      <c r="J606" s="70"/>
      <c r="K606" s="70"/>
      <c r="L606" s="70"/>
      <c r="M606" s="70"/>
      <c r="S606" s="201"/>
      <c r="T606" s="201"/>
      <c r="AO606" s="80"/>
      <c r="AP606" s="80"/>
      <c r="AQ606" s="80"/>
      <c r="AR606" s="80"/>
      <c r="AS606" s="80"/>
      <c r="AT606" s="80"/>
    </row>
    <row r="607" spans="5:46" x14ac:dyDescent="0.25">
      <c r="E607" s="190"/>
      <c r="F607" s="110"/>
      <c r="G607" s="190"/>
      <c r="H607" s="70"/>
      <c r="I607" s="70"/>
      <c r="J607" s="70"/>
      <c r="K607" s="70"/>
      <c r="L607" s="70"/>
      <c r="M607" s="70"/>
      <c r="S607" s="201"/>
      <c r="T607" s="201"/>
      <c r="AO607" s="80"/>
      <c r="AP607" s="80"/>
      <c r="AQ607" s="80"/>
      <c r="AR607" s="80"/>
      <c r="AS607" s="80"/>
      <c r="AT607" s="80"/>
    </row>
    <row r="608" spans="5:46" x14ac:dyDescent="0.25">
      <c r="E608" s="190"/>
      <c r="F608" s="110"/>
      <c r="G608" s="190"/>
      <c r="H608" s="70"/>
      <c r="I608" s="70"/>
      <c r="J608" s="70"/>
      <c r="K608" s="70"/>
      <c r="L608" s="70"/>
      <c r="M608" s="70"/>
      <c r="S608" s="201"/>
      <c r="T608" s="201"/>
      <c r="AO608" s="80"/>
      <c r="AP608" s="80"/>
      <c r="AQ608" s="80"/>
      <c r="AR608" s="80"/>
      <c r="AS608" s="80"/>
      <c r="AT608" s="80"/>
    </row>
    <row r="609" spans="5:46" x14ac:dyDescent="0.25">
      <c r="E609" s="190"/>
      <c r="F609" s="110"/>
      <c r="G609" s="190"/>
      <c r="H609" s="70"/>
      <c r="I609" s="70"/>
      <c r="J609" s="70"/>
      <c r="K609" s="70"/>
      <c r="L609" s="70"/>
      <c r="M609" s="70"/>
      <c r="S609" s="201"/>
      <c r="T609" s="201"/>
      <c r="AO609" s="80"/>
      <c r="AP609" s="80"/>
      <c r="AQ609" s="80"/>
      <c r="AR609" s="80"/>
      <c r="AS609" s="80"/>
      <c r="AT609" s="80"/>
    </row>
    <row r="610" spans="5:46" x14ac:dyDescent="0.25">
      <c r="E610" s="190"/>
      <c r="F610" s="110"/>
      <c r="G610" s="190"/>
      <c r="H610" s="70"/>
      <c r="I610" s="70"/>
      <c r="J610" s="70"/>
      <c r="K610" s="70"/>
      <c r="L610" s="70"/>
      <c r="M610" s="70"/>
      <c r="S610" s="201"/>
      <c r="T610" s="201"/>
      <c r="AO610" s="80"/>
      <c r="AP610" s="80"/>
      <c r="AQ610" s="80"/>
      <c r="AR610" s="80"/>
      <c r="AS610" s="80"/>
      <c r="AT610" s="80"/>
    </row>
    <row r="611" spans="5:46" x14ac:dyDescent="0.25">
      <c r="E611" s="190"/>
      <c r="F611" s="110"/>
      <c r="G611" s="190"/>
      <c r="H611" s="70"/>
      <c r="I611" s="70"/>
      <c r="J611" s="70"/>
      <c r="K611" s="70"/>
      <c r="L611" s="70"/>
      <c r="M611" s="70"/>
      <c r="S611" s="201"/>
      <c r="T611" s="201"/>
      <c r="AO611" s="80"/>
      <c r="AP611" s="80"/>
      <c r="AQ611" s="80"/>
      <c r="AR611" s="80"/>
      <c r="AS611" s="80"/>
      <c r="AT611" s="80"/>
    </row>
    <row r="612" spans="5:46" x14ac:dyDescent="0.25">
      <c r="E612" s="190"/>
      <c r="F612" s="110"/>
      <c r="G612" s="190"/>
      <c r="H612" s="70"/>
      <c r="I612" s="70"/>
      <c r="J612" s="70"/>
      <c r="K612" s="70"/>
      <c r="L612" s="70"/>
      <c r="M612" s="70"/>
      <c r="S612" s="201"/>
      <c r="T612" s="201"/>
      <c r="AO612" s="80"/>
      <c r="AP612" s="80"/>
      <c r="AQ612" s="80"/>
      <c r="AR612" s="80"/>
      <c r="AS612" s="80"/>
      <c r="AT612" s="80"/>
    </row>
    <row r="613" spans="5:46" x14ac:dyDescent="0.25">
      <c r="E613" s="190"/>
      <c r="F613" s="110"/>
      <c r="G613" s="190"/>
      <c r="H613" s="70"/>
      <c r="I613" s="70"/>
      <c r="J613" s="70"/>
      <c r="K613" s="70"/>
      <c r="L613" s="70"/>
      <c r="M613" s="70"/>
      <c r="S613" s="201"/>
      <c r="T613" s="201"/>
      <c r="AO613" s="80"/>
      <c r="AP613" s="80"/>
      <c r="AQ613" s="80"/>
      <c r="AR613" s="80"/>
      <c r="AS613" s="80"/>
      <c r="AT613" s="80"/>
    </row>
    <row r="614" spans="5:46" x14ac:dyDescent="0.25">
      <c r="E614" s="190"/>
      <c r="F614" s="110"/>
      <c r="G614" s="190"/>
      <c r="H614" s="70"/>
      <c r="I614" s="70"/>
      <c r="J614" s="70"/>
      <c r="K614" s="70"/>
      <c r="L614" s="70"/>
      <c r="M614" s="70"/>
      <c r="S614" s="201"/>
      <c r="T614" s="201"/>
      <c r="AO614" s="80"/>
      <c r="AP614" s="80"/>
      <c r="AQ614" s="80"/>
      <c r="AR614" s="80"/>
      <c r="AS614" s="80"/>
      <c r="AT614" s="80"/>
    </row>
    <row r="615" spans="5:46" x14ac:dyDescent="0.25">
      <c r="E615" s="190"/>
      <c r="F615" s="110"/>
      <c r="G615" s="190"/>
      <c r="H615" s="70"/>
      <c r="I615" s="70"/>
      <c r="J615" s="70"/>
      <c r="K615" s="70"/>
      <c r="L615" s="70"/>
      <c r="M615" s="70"/>
      <c r="S615" s="201"/>
      <c r="T615" s="201"/>
      <c r="AO615" s="80"/>
      <c r="AP615" s="80"/>
      <c r="AQ615" s="80"/>
      <c r="AR615" s="80"/>
      <c r="AS615" s="80"/>
      <c r="AT615" s="80"/>
    </row>
    <row r="616" spans="5:46" x14ac:dyDescent="0.25">
      <c r="E616" s="190"/>
      <c r="F616" s="110"/>
      <c r="G616" s="190"/>
      <c r="H616" s="70"/>
      <c r="I616" s="70"/>
      <c r="J616" s="70"/>
      <c r="K616" s="70"/>
      <c r="L616" s="70"/>
      <c r="M616" s="70"/>
      <c r="AO616" s="80"/>
      <c r="AP616" s="80"/>
      <c r="AQ616" s="80"/>
      <c r="AR616" s="80"/>
      <c r="AS616" s="80"/>
      <c r="AT616" s="80"/>
    </row>
    <row r="617" spans="5:46" x14ac:dyDescent="0.25">
      <c r="E617" s="190"/>
      <c r="F617" s="110"/>
      <c r="G617" s="190"/>
      <c r="H617" s="70"/>
      <c r="I617" s="70"/>
      <c r="J617" s="70"/>
      <c r="K617" s="70"/>
      <c r="L617" s="70"/>
      <c r="M617" s="70"/>
      <c r="AO617" s="80"/>
      <c r="AP617" s="80"/>
      <c r="AQ617" s="80"/>
      <c r="AR617" s="80"/>
      <c r="AS617" s="80"/>
      <c r="AT617" s="80"/>
    </row>
    <row r="618" spans="5:46" x14ac:dyDescent="0.25">
      <c r="E618" s="190"/>
      <c r="F618" s="110"/>
      <c r="G618" s="190"/>
      <c r="H618" s="70"/>
      <c r="I618" s="70"/>
      <c r="J618" s="70"/>
      <c r="K618" s="70"/>
      <c r="L618" s="70"/>
      <c r="M618" s="70"/>
      <c r="AO618" s="80"/>
      <c r="AP618" s="80"/>
      <c r="AQ618" s="80"/>
      <c r="AR618" s="80"/>
      <c r="AS618" s="80"/>
      <c r="AT618" s="80"/>
    </row>
    <row r="619" spans="5:46" x14ac:dyDescent="0.25">
      <c r="E619" s="190"/>
      <c r="F619" s="110"/>
      <c r="G619" s="190"/>
      <c r="H619" s="70"/>
      <c r="I619" s="70"/>
      <c r="J619" s="70"/>
      <c r="K619" s="70"/>
      <c r="L619" s="70"/>
      <c r="M619" s="70"/>
      <c r="AO619" s="80"/>
      <c r="AP619" s="80"/>
      <c r="AQ619" s="80"/>
      <c r="AR619" s="80"/>
      <c r="AS619" s="80"/>
      <c r="AT619" s="80"/>
    </row>
    <row r="620" spans="5:46" x14ac:dyDescent="0.25">
      <c r="E620" s="190"/>
      <c r="F620" s="110"/>
      <c r="G620" s="190"/>
      <c r="H620" s="70"/>
      <c r="I620" s="70"/>
      <c r="J620" s="70"/>
      <c r="K620" s="70"/>
      <c r="L620" s="70"/>
      <c r="M620" s="70"/>
      <c r="AO620" s="80"/>
      <c r="AP620" s="80"/>
      <c r="AQ620" s="80"/>
      <c r="AR620" s="80"/>
      <c r="AS620" s="80"/>
      <c r="AT620" s="80"/>
    </row>
    <row r="621" spans="5:46" x14ac:dyDescent="0.25">
      <c r="E621" s="190"/>
      <c r="F621" s="110"/>
      <c r="G621" s="190"/>
      <c r="H621" s="70"/>
      <c r="I621" s="70"/>
      <c r="J621" s="70"/>
      <c r="K621" s="70"/>
      <c r="L621" s="70"/>
      <c r="M621" s="70"/>
      <c r="AO621" s="80"/>
      <c r="AP621" s="80"/>
      <c r="AQ621" s="80"/>
      <c r="AR621" s="80"/>
      <c r="AS621" s="80"/>
      <c r="AT621" s="80"/>
    </row>
    <row r="622" spans="5:46" x14ac:dyDescent="0.25">
      <c r="E622" s="190"/>
      <c r="F622" s="110"/>
      <c r="G622" s="190"/>
      <c r="H622" s="70"/>
      <c r="I622" s="70"/>
      <c r="J622" s="70"/>
      <c r="K622" s="70"/>
      <c r="L622" s="70"/>
      <c r="M622" s="70"/>
      <c r="AO622" s="80"/>
      <c r="AP622" s="80"/>
      <c r="AQ622" s="80"/>
      <c r="AR622" s="80"/>
      <c r="AS622" s="80"/>
      <c r="AT622" s="80"/>
    </row>
    <row r="623" spans="5:46" x14ac:dyDescent="0.25">
      <c r="E623" s="190"/>
      <c r="F623" s="110"/>
      <c r="G623" s="190"/>
      <c r="H623" s="70"/>
      <c r="I623" s="70"/>
      <c r="J623" s="70"/>
      <c r="K623" s="70"/>
      <c r="L623" s="70"/>
      <c r="M623" s="70"/>
      <c r="AO623" s="80"/>
      <c r="AP623" s="80"/>
      <c r="AQ623" s="80"/>
      <c r="AR623" s="80"/>
      <c r="AS623" s="80"/>
      <c r="AT623" s="80"/>
    </row>
    <row r="624" spans="5:46" x14ac:dyDescent="0.25">
      <c r="E624" s="190"/>
      <c r="F624" s="110"/>
      <c r="G624" s="190"/>
      <c r="H624" s="70"/>
      <c r="I624" s="70"/>
      <c r="J624" s="70"/>
      <c r="K624" s="70"/>
      <c r="L624" s="70"/>
      <c r="M624" s="70"/>
      <c r="AO624" s="80"/>
      <c r="AP624" s="80"/>
      <c r="AQ624" s="80"/>
      <c r="AR624" s="80"/>
      <c r="AS624" s="80"/>
      <c r="AT624" s="80"/>
    </row>
    <row r="625" spans="2:68" x14ac:dyDescent="0.25">
      <c r="E625" s="190"/>
      <c r="F625" s="110"/>
      <c r="G625" s="190"/>
      <c r="H625" s="70"/>
      <c r="I625" s="70"/>
      <c r="J625" s="70"/>
      <c r="K625" s="70"/>
      <c r="L625" s="70"/>
      <c r="M625" s="70"/>
      <c r="AO625" s="80"/>
      <c r="AP625" s="80"/>
      <c r="AQ625" s="80"/>
      <c r="AR625" s="80"/>
      <c r="AS625" s="80"/>
      <c r="AT625" s="80"/>
    </row>
    <row r="626" spans="2:68" x14ac:dyDescent="0.25">
      <c r="E626" s="190"/>
      <c r="F626" s="110"/>
      <c r="G626" s="190"/>
      <c r="H626" s="70"/>
      <c r="I626" s="70"/>
      <c r="J626" s="70"/>
      <c r="K626" s="70"/>
      <c r="L626" s="70"/>
      <c r="M626" s="70"/>
      <c r="AO626" s="80"/>
      <c r="AP626" s="80"/>
      <c r="AQ626" s="80"/>
      <c r="AR626" s="80"/>
      <c r="AS626" s="80"/>
      <c r="AT626" s="80"/>
    </row>
    <row r="627" spans="2:68" x14ac:dyDescent="0.25">
      <c r="E627" s="190"/>
      <c r="F627" s="110"/>
      <c r="G627" s="190"/>
      <c r="H627" s="70"/>
      <c r="I627" s="70"/>
      <c r="J627" s="70"/>
      <c r="K627" s="70"/>
      <c r="L627" s="70"/>
      <c r="M627" s="70"/>
      <c r="AO627" s="80"/>
      <c r="AP627" s="80"/>
      <c r="AQ627" s="80"/>
      <c r="AR627" s="80"/>
      <c r="AS627" s="80"/>
      <c r="AT627" s="80"/>
    </row>
    <row r="628" spans="2:68" x14ac:dyDescent="0.25">
      <c r="E628" s="190"/>
      <c r="F628" s="110"/>
      <c r="G628" s="190"/>
      <c r="H628" s="70"/>
      <c r="I628" s="70"/>
      <c r="J628" s="70"/>
      <c r="K628" s="70"/>
      <c r="L628" s="70"/>
      <c r="M628" s="70"/>
      <c r="AO628" s="80"/>
      <c r="AP628" s="80"/>
      <c r="AQ628" s="80"/>
      <c r="AR628" s="80"/>
      <c r="AS628" s="80"/>
      <c r="AT628" s="80"/>
    </row>
    <row r="629" spans="2:68" x14ac:dyDescent="0.25">
      <c r="E629" s="190"/>
      <c r="F629" s="110"/>
      <c r="G629" s="190"/>
      <c r="H629" s="70"/>
      <c r="I629" s="70"/>
      <c r="J629" s="70"/>
      <c r="K629" s="70"/>
      <c r="L629" s="70"/>
      <c r="M629" s="70"/>
      <c r="AO629" s="80"/>
      <c r="AP629" s="80"/>
      <c r="AQ629" s="80"/>
      <c r="AR629" s="80"/>
      <c r="AS629" s="80"/>
      <c r="AT629" s="80"/>
    </row>
    <row r="630" spans="2:68" x14ac:dyDescent="0.25">
      <c r="E630" s="190"/>
      <c r="F630" s="110"/>
      <c r="G630" s="190"/>
      <c r="H630" s="70"/>
      <c r="I630" s="70"/>
      <c r="J630" s="70"/>
      <c r="K630" s="70"/>
      <c r="L630" s="70"/>
      <c r="M630" s="70"/>
      <c r="AO630" s="80"/>
      <c r="AP630" s="80"/>
      <c r="AQ630" s="80"/>
      <c r="AR630" s="80"/>
      <c r="AS630" s="80"/>
      <c r="AT630" s="80"/>
    </row>
    <row r="631" spans="2:68" x14ac:dyDescent="0.25">
      <c r="E631" s="190"/>
      <c r="F631" s="110"/>
      <c r="G631" s="190"/>
      <c r="H631" s="70"/>
      <c r="I631" s="70"/>
      <c r="J631" s="70"/>
      <c r="K631" s="70"/>
      <c r="L631" s="70"/>
      <c r="M631" s="70"/>
      <c r="AO631" s="80"/>
      <c r="AP631" s="80"/>
      <c r="AQ631" s="80"/>
      <c r="AR631" s="80"/>
      <c r="AS631" s="80"/>
      <c r="AT631" s="80"/>
    </row>
    <row r="632" spans="2:68" x14ac:dyDescent="0.25">
      <c r="E632" s="190"/>
      <c r="F632" s="110"/>
      <c r="G632" s="190"/>
      <c r="H632" s="70"/>
      <c r="I632" s="70"/>
      <c r="J632" s="70"/>
      <c r="K632" s="70"/>
      <c r="L632" s="70"/>
      <c r="M632" s="70"/>
      <c r="AO632" s="80"/>
      <c r="AP632" s="80"/>
      <c r="AQ632" s="80"/>
      <c r="AR632" s="80"/>
      <c r="AS632" s="80"/>
      <c r="AT632" s="80"/>
    </row>
    <row r="633" spans="2:68" x14ac:dyDescent="0.25">
      <c r="E633" s="190"/>
      <c r="F633" s="110"/>
      <c r="G633" s="190"/>
      <c r="H633" s="70"/>
      <c r="I633" s="70"/>
      <c r="J633" s="70"/>
      <c r="K633" s="70"/>
      <c r="L633" s="70"/>
      <c r="M633" s="70"/>
    </row>
    <row r="634" spans="2:68" s="56" customFormat="1" x14ac:dyDescent="0.25">
      <c r="B634" s="11"/>
      <c r="C634" s="82"/>
      <c r="D634" s="82"/>
      <c r="E634" s="190"/>
      <c r="F634" s="110"/>
      <c r="G634" s="190"/>
      <c r="H634" s="70"/>
      <c r="I634" s="70"/>
      <c r="J634" s="70"/>
      <c r="K634" s="70"/>
      <c r="L634" s="70"/>
      <c r="M634" s="70"/>
      <c r="Q634" s="83"/>
      <c r="R634" s="108"/>
      <c r="S634" s="83"/>
      <c r="T634" s="83"/>
      <c r="U634" s="83"/>
      <c r="V634" s="83"/>
      <c r="W634" s="83"/>
      <c r="X634" s="83"/>
      <c r="Y634" s="83"/>
      <c r="Z634" s="83"/>
      <c r="AA634" s="83"/>
      <c r="AB634" s="83"/>
      <c r="AC634" s="108"/>
      <c r="AD634" s="83"/>
      <c r="AE634" s="83"/>
      <c r="AF634" s="83"/>
      <c r="AG634" s="83"/>
      <c r="AH634" s="83"/>
      <c r="AI634" s="83"/>
      <c r="AJ634" s="83"/>
      <c r="AK634" s="83"/>
      <c r="AL634" s="83"/>
      <c r="AM634" s="83"/>
      <c r="AN634" s="108"/>
      <c r="AO634" s="83"/>
      <c r="AP634" s="83"/>
      <c r="AQ634" s="83"/>
      <c r="AR634" s="83"/>
      <c r="AS634" s="83"/>
      <c r="AT634" s="83"/>
      <c r="AU634" s="83"/>
      <c r="AV634" s="83"/>
      <c r="AW634" s="83"/>
      <c r="AX634" s="108"/>
      <c r="AY634" s="108"/>
      <c r="AZ634" s="83"/>
      <c r="BA634" s="83"/>
      <c r="BB634" s="83"/>
      <c r="BC634" s="83"/>
      <c r="BD634" s="83"/>
      <c r="BE634" s="83"/>
      <c r="BF634" s="83"/>
      <c r="BG634" s="83"/>
      <c r="BH634" s="83"/>
      <c r="BI634" s="108"/>
      <c r="BJ634" s="108"/>
      <c r="BK634" s="108"/>
      <c r="BL634" s="108"/>
      <c r="BM634" s="108"/>
      <c r="BN634" s="108"/>
      <c r="BO634" s="108"/>
      <c r="BP634" s="108"/>
    </row>
    <row r="635" spans="2:68" s="56" customFormat="1" x14ac:dyDescent="0.25">
      <c r="B635" s="11"/>
      <c r="C635" s="82"/>
      <c r="D635" s="82"/>
      <c r="E635" s="190"/>
      <c r="F635" s="110"/>
      <c r="G635" s="190"/>
      <c r="H635" s="70"/>
      <c r="I635" s="70"/>
      <c r="J635" s="70"/>
      <c r="K635" s="70"/>
      <c r="L635" s="70"/>
      <c r="M635" s="70"/>
      <c r="Q635" s="83"/>
      <c r="R635" s="108"/>
      <c r="S635" s="83"/>
      <c r="T635" s="83"/>
      <c r="U635" s="83"/>
      <c r="V635" s="83"/>
      <c r="W635" s="83"/>
      <c r="X635" s="83"/>
      <c r="Y635" s="83"/>
      <c r="Z635" s="83"/>
      <c r="AA635" s="83"/>
      <c r="AB635" s="83"/>
      <c r="AC635" s="108"/>
      <c r="AD635" s="83"/>
      <c r="AE635" s="83"/>
      <c r="AF635" s="83"/>
      <c r="AG635" s="83"/>
      <c r="AH635" s="83"/>
      <c r="AI635" s="83"/>
      <c r="AJ635" s="83"/>
      <c r="AK635" s="83"/>
      <c r="AL635" s="83"/>
      <c r="AM635" s="83"/>
      <c r="AN635" s="108"/>
      <c r="AO635" s="83"/>
      <c r="AP635" s="83"/>
      <c r="AQ635" s="83"/>
      <c r="AR635" s="83"/>
      <c r="AS635" s="83"/>
      <c r="AT635" s="83"/>
      <c r="AU635" s="83"/>
      <c r="AV635" s="83"/>
      <c r="AW635" s="83"/>
      <c r="AX635" s="108"/>
      <c r="AY635" s="108"/>
      <c r="AZ635" s="83"/>
      <c r="BA635" s="83"/>
      <c r="BB635" s="83"/>
      <c r="BC635" s="83"/>
      <c r="BD635" s="83"/>
      <c r="BE635" s="83"/>
      <c r="BF635" s="83"/>
      <c r="BG635" s="83"/>
      <c r="BH635" s="83"/>
      <c r="BI635" s="108"/>
      <c r="BJ635" s="108"/>
      <c r="BK635" s="108"/>
      <c r="BL635" s="108"/>
      <c r="BM635" s="108"/>
      <c r="BN635" s="108"/>
      <c r="BO635" s="108"/>
      <c r="BP635" s="108"/>
    </row>
    <row r="636" spans="2:68" s="56" customFormat="1" x14ac:dyDescent="0.25">
      <c r="B636" s="11"/>
      <c r="C636" s="82"/>
      <c r="D636" s="82"/>
      <c r="E636" s="190"/>
      <c r="F636" s="110"/>
      <c r="G636" s="190"/>
      <c r="H636" s="70"/>
      <c r="I636" s="70"/>
      <c r="J636" s="70"/>
      <c r="K636" s="70"/>
      <c r="L636" s="70"/>
      <c r="M636" s="70"/>
      <c r="Q636" s="83"/>
      <c r="R636" s="108"/>
      <c r="S636" s="83"/>
      <c r="T636" s="83"/>
      <c r="U636" s="83"/>
      <c r="V636" s="83"/>
      <c r="W636" s="83"/>
      <c r="X636" s="83"/>
      <c r="Y636" s="83"/>
      <c r="Z636" s="83"/>
      <c r="AA636" s="83"/>
      <c r="AB636" s="83"/>
      <c r="AC636" s="108"/>
      <c r="AD636" s="83"/>
      <c r="AE636" s="83"/>
      <c r="AF636" s="83"/>
      <c r="AG636" s="83"/>
      <c r="AH636" s="83"/>
      <c r="AI636" s="83"/>
      <c r="AJ636" s="83"/>
      <c r="AK636" s="83"/>
      <c r="AL636" s="83"/>
      <c r="AM636" s="83"/>
      <c r="AN636" s="108"/>
      <c r="AO636" s="83"/>
      <c r="AP636" s="83"/>
      <c r="AQ636" s="83"/>
      <c r="AR636" s="83"/>
      <c r="AS636" s="83"/>
      <c r="AT636" s="83"/>
      <c r="AU636" s="83"/>
      <c r="AV636" s="83"/>
      <c r="AW636" s="83"/>
      <c r="AX636" s="108"/>
      <c r="AY636" s="108"/>
      <c r="AZ636" s="83"/>
      <c r="BA636" s="83"/>
      <c r="BB636" s="83"/>
      <c r="BC636" s="83"/>
      <c r="BD636" s="83"/>
      <c r="BE636" s="83"/>
      <c r="BF636" s="83"/>
      <c r="BG636" s="83"/>
      <c r="BH636" s="83"/>
      <c r="BI636" s="108"/>
      <c r="BJ636" s="108"/>
      <c r="BK636" s="108"/>
      <c r="BL636" s="108"/>
      <c r="BM636" s="108"/>
      <c r="BN636" s="108"/>
      <c r="BO636" s="108"/>
      <c r="BP636" s="108"/>
    </row>
    <row r="637" spans="2:68" s="56" customFormat="1" x14ac:dyDescent="0.25">
      <c r="B637" s="11"/>
      <c r="C637" s="82"/>
      <c r="D637" s="82"/>
      <c r="E637" s="190"/>
      <c r="F637" s="110"/>
      <c r="G637" s="190"/>
      <c r="H637" s="70"/>
      <c r="I637" s="70"/>
      <c r="J637" s="70"/>
      <c r="K637" s="70"/>
      <c r="L637" s="70"/>
      <c r="M637" s="70"/>
      <c r="Q637" s="83"/>
      <c r="R637" s="108"/>
      <c r="S637" s="83"/>
      <c r="T637" s="83"/>
      <c r="U637" s="83"/>
      <c r="V637" s="83"/>
      <c r="W637" s="83"/>
      <c r="X637" s="83"/>
      <c r="Y637" s="83"/>
      <c r="Z637" s="83"/>
      <c r="AA637" s="83"/>
      <c r="AB637" s="83"/>
      <c r="AC637" s="108"/>
      <c r="AD637" s="83"/>
      <c r="AE637" s="83"/>
      <c r="AF637" s="83"/>
      <c r="AG637" s="83"/>
      <c r="AH637" s="83"/>
      <c r="AI637" s="83"/>
      <c r="AJ637" s="83"/>
      <c r="AK637" s="83"/>
      <c r="AL637" s="83"/>
      <c r="AM637" s="83"/>
      <c r="AN637" s="108"/>
      <c r="AO637" s="83"/>
      <c r="AP637" s="83"/>
      <c r="AQ637" s="83"/>
      <c r="AR637" s="83"/>
      <c r="AS637" s="83"/>
      <c r="AT637" s="83"/>
      <c r="AU637" s="83"/>
      <c r="AV637" s="83"/>
      <c r="AW637" s="83"/>
      <c r="AX637" s="108"/>
      <c r="AY637" s="108"/>
      <c r="AZ637" s="83"/>
      <c r="BA637" s="83"/>
      <c r="BB637" s="83"/>
      <c r="BC637" s="83"/>
      <c r="BD637" s="83"/>
      <c r="BE637" s="83"/>
      <c r="BF637" s="83"/>
      <c r="BG637" s="83"/>
      <c r="BH637" s="83"/>
      <c r="BI637" s="108"/>
      <c r="BJ637" s="108"/>
      <c r="BK637" s="108"/>
      <c r="BL637" s="108"/>
      <c r="BM637" s="108"/>
      <c r="BN637" s="108"/>
      <c r="BO637" s="108"/>
      <c r="BP637" s="108"/>
    </row>
    <row r="638" spans="2:68" s="56" customFormat="1" x14ac:dyDescent="0.25">
      <c r="B638" s="11"/>
      <c r="C638" s="82"/>
      <c r="D638" s="82"/>
      <c r="E638" s="190"/>
      <c r="F638" s="110"/>
      <c r="G638" s="190"/>
      <c r="H638" s="70"/>
      <c r="I638" s="70"/>
      <c r="J638" s="70"/>
      <c r="K638" s="70"/>
      <c r="L638" s="70"/>
      <c r="M638" s="70"/>
      <c r="Q638" s="83"/>
      <c r="R638" s="108"/>
      <c r="S638" s="83"/>
      <c r="T638" s="83"/>
      <c r="U638" s="83"/>
      <c r="V638" s="83"/>
      <c r="W638" s="83"/>
      <c r="X638" s="83"/>
      <c r="Y638" s="83"/>
      <c r="Z638" s="83"/>
      <c r="AA638" s="83"/>
      <c r="AB638" s="83"/>
      <c r="AC638" s="108"/>
      <c r="AD638" s="83"/>
      <c r="AE638" s="83"/>
      <c r="AF638" s="83"/>
      <c r="AG638" s="83"/>
      <c r="AH638" s="83"/>
      <c r="AI638" s="83"/>
      <c r="AJ638" s="83"/>
      <c r="AK638" s="83"/>
      <c r="AL638" s="83"/>
      <c r="AM638" s="83"/>
      <c r="AN638" s="108"/>
      <c r="AO638" s="83"/>
      <c r="AP638" s="83"/>
      <c r="AQ638" s="83"/>
      <c r="AR638" s="83"/>
      <c r="AS638" s="83"/>
      <c r="AT638" s="83"/>
      <c r="AU638" s="83"/>
      <c r="AV638" s="83"/>
      <c r="AW638" s="83"/>
      <c r="AX638" s="108"/>
      <c r="AY638" s="108"/>
      <c r="AZ638" s="83"/>
      <c r="BA638" s="83"/>
      <c r="BB638" s="83"/>
      <c r="BC638" s="83"/>
      <c r="BD638" s="83"/>
      <c r="BE638" s="83"/>
      <c r="BF638" s="83"/>
      <c r="BG638" s="83"/>
      <c r="BH638" s="83"/>
      <c r="BI638" s="108"/>
      <c r="BJ638" s="108"/>
      <c r="BK638" s="108"/>
      <c r="BL638" s="108"/>
      <c r="BM638" s="108"/>
      <c r="BN638" s="108"/>
      <c r="BO638" s="108"/>
      <c r="BP638" s="108"/>
    </row>
    <row r="639" spans="2:68" s="56" customFormat="1" x14ac:dyDescent="0.25">
      <c r="B639" s="11"/>
      <c r="C639" s="82"/>
      <c r="D639" s="82"/>
      <c r="E639" s="190"/>
      <c r="F639" s="110"/>
      <c r="G639" s="190"/>
      <c r="H639" s="70"/>
      <c r="I639" s="70"/>
      <c r="J639" s="70"/>
      <c r="K639" s="70"/>
      <c r="L639" s="70"/>
      <c r="M639" s="70"/>
      <c r="Q639" s="83"/>
      <c r="R639" s="108"/>
      <c r="S639" s="83"/>
      <c r="T639" s="83"/>
      <c r="U639" s="83"/>
      <c r="V639" s="83"/>
      <c r="W639" s="83"/>
      <c r="X639" s="83"/>
      <c r="Y639" s="83"/>
      <c r="Z639" s="83"/>
      <c r="AA639" s="83"/>
      <c r="AB639" s="83"/>
      <c r="AC639" s="108"/>
      <c r="AD639" s="83"/>
      <c r="AE639" s="83"/>
      <c r="AF639" s="83"/>
      <c r="AG639" s="83"/>
      <c r="AH639" s="83"/>
      <c r="AI639" s="83"/>
      <c r="AJ639" s="83"/>
      <c r="AK639" s="83"/>
      <c r="AL639" s="83"/>
      <c r="AM639" s="83"/>
      <c r="AN639" s="108"/>
      <c r="AO639" s="83"/>
      <c r="AP639" s="83"/>
      <c r="AQ639" s="83"/>
      <c r="AR639" s="83"/>
      <c r="AS639" s="83"/>
      <c r="AT639" s="83"/>
      <c r="AU639" s="83"/>
      <c r="AV639" s="83"/>
      <c r="AW639" s="83"/>
      <c r="AX639" s="108"/>
      <c r="AY639" s="108"/>
      <c r="AZ639" s="83"/>
      <c r="BA639" s="83"/>
      <c r="BB639" s="83"/>
      <c r="BC639" s="83"/>
      <c r="BD639" s="83"/>
      <c r="BE639" s="83"/>
      <c r="BF639" s="83"/>
      <c r="BG639" s="83"/>
      <c r="BH639" s="83"/>
      <c r="BI639" s="108"/>
      <c r="BJ639" s="108"/>
      <c r="BK639" s="108"/>
      <c r="BL639" s="108"/>
      <c r="BM639" s="108"/>
      <c r="BN639" s="108"/>
      <c r="BO639" s="108"/>
      <c r="BP639" s="108"/>
    </row>
    <row r="640" spans="2:68" s="56" customFormat="1" x14ac:dyDescent="0.25">
      <c r="B640" s="11"/>
      <c r="C640" s="82"/>
      <c r="D640" s="82"/>
      <c r="E640" s="190"/>
      <c r="F640" s="110"/>
      <c r="G640" s="190"/>
      <c r="H640" s="70"/>
      <c r="I640" s="70"/>
      <c r="J640" s="70"/>
      <c r="K640" s="70"/>
      <c r="L640" s="70"/>
      <c r="M640" s="70"/>
      <c r="Q640" s="83"/>
      <c r="R640" s="108"/>
      <c r="S640" s="83"/>
      <c r="T640" s="83"/>
      <c r="U640" s="83"/>
      <c r="V640" s="83"/>
      <c r="W640" s="83"/>
      <c r="X640" s="83"/>
      <c r="Y640" s="83"/>
      <c r="Z640" s="83"/>
      <c r="AA640" s="83"/>
      <c r="AB640" s="83"/>
      <c r="AC640" s="108"/>
      <c r="AD640" s="83"/>
      <c r="AE640" s="83"/>
      <c r="AF640" s="83"/>
      <c r="AG640" s="83"/>
      <c r="AH640" s="83"/>
      <c r="AI640" s="83"/>
      <c r="AJ640" s="83"/>
      <c r="AK640" s="83"/>
      <c r="AL640" s="83"/>
      <c r="AM640" s="83"/>
      <c r="AN640" s="108"/>
      <c r="AO640" s="83"/>
      <c r="AP640" s="83"/>
      <c r="AQ640" s="83"/>
      <c r="AR640" s="83"/>
      <c r="AS640" s="83"/>
      <c r="AT640" s="83"/>
      <c r="AU640" s="83"/>
      <c r="AV640" s="83"/>
      <c r="AW640" s="83"/>
      <c r="AX640" s="108"/>
      <c r="AY640" s="108"/>
      <c r="AZ640" s="83"/>
      <c r="BA640" s="83"/>
      <c r="BB640" s="83"/>
      <c r="BC640" s="83"/>
      <c r="BD640" s="83"/>
      <c r="BE640" s="83"/>
      <c r="BF640" s="83"/>
      <c r="BG640" s="83"/>
      <c r="BH640" s="83"/>
      <c r="BI640" s="108"/>
      <c r="BJ640" s="108"/>
      <c r="BK640" s="108"/>
      <c r="BL640" s="108"/>
      <c r="BM640" s="108"/>
      <c r="BN640" s="108"/>
      <c r="BO640" s="108"/>
      <c r="BP640" s="108"/>
    </row>
    <row r="641" spans="2:68" s="56" customFormat="1" x14ac:dyDescent="0.25">
      <c r="B641" s="11"/>
      <c r="C641" s="82"/>
      <c r="D641" s="82"/>
      <c r="E641" s="190"/>
      <c r="F641" s="110"/>
      <c r="G641" s="190"/>
      <c r="H641" s="70"/>
      <c r="I641" s="70"/>
      <c r="J641" s="70"/>
      <c r="K641" s="70"/>
      <c r="L641" s="70"/>
      <c r="M641" s="70"/>
      <c r="Q641" s="83"/>
      <c r="R641" s="108"/>
      <c r="S641" s="83"/>
      <c r="T641" s="83"/>
      <c r="U641" s="83"/>
      <c r="V641" s="83"/>
      <c r="W641" s="83"/>
      <c r="X641" s="83"/>
      <c r="Y641" s="83"/>
      <c r="Z641" s="83"/>
      <c r="AA641" s="83"/>
      <c r="AB641" s="83"/>
      <c r="AC641" s="108"/>
      <c r="AD641" s="83"/>
      <c r="AE641" s="83"/>
      <c r="AF641" s="83"/>
      <c r="AG641" s="83"/>
      <c r="AH641" s="83"/>
      <c r="AI641" s="83"/>
      <c r="AJ641" s="83"/>
      <c r="AK641" s="83"/>
      <c r="AL641" s="83"/>
      <c r="AM641" s="83"/>
      <c r="AN641" s="108"/>
      <c r="AO641" s="83"/>
      <c r="AP641" s="83"/>
      <c r="AQ641" s="83"/>
      <c r="AR641" s="83"/>
      <c r="AS641" s="83"/>
      <c r="AT641" s="83"/>
      <c r="AU641" s="83"/>
      <c r="AV641" s="83"/>
      <c r="AW641" s="83"/>
      <c r="AX641" s="108"/>
      <c r="AY641" s="108"/>
      <c r="AZ641" s="83"/>
      <c r="BA641" s="83"/>
      <c r="BB641" s="83"/>
      <c r="BC641" s="83"/>
      <c r="BD641" s="83"/>
      <c r="BE641" s="83"/>
      <c r="BF641" s="83"/>
      <c r="BG641" s="83"/>
      <c r="BH641" s="83"/>
      <c r="BI641" s="108"/>
      <c r="BJ641" s="108"/>
      <c r="BK641" s="108"/>
      <c r="BL641" s="108"/>
      <c r="BM641" s="108"/>
      <c r="BN641" s="108"/>
      <c r="BO641" s="108"/>
      <c r="BP641" s="108"/>
    </row>
    <row r="642" spans="2:68" s="56" customFormat="1" x14ac:dyDescent="0.25">
      <c r="B642" s="11"/>
      <c r="C642" s="82"/>
      <c r="D642" s="82"/>
      <c r="E642" s="190"/>
      <c r="F642" s="110"/>
      <c r="G642" s="190"/>
      <c r="H642" s="70"/>
      <c r="I642" s="70"/>
      <c r="J642" s="70"/>
      <c r="K642" s="70"/>
      <c r="L642" s="70"/>
      <c r="M642" s="70"/>
      <c r="Q642" s="83"/>
      <c r="R642" s="108"/>
      <c r="S642" s="83"/>
      <c r="T642" s="83"/>
      <c r="U642" s="83"/>
      <c r="V642" s="83"/>
      <c r="W642" s="83"/>
      <c r="X642" s="83"/>
      <c r="Y642" s="83"/>
      <c r="Z642" s="83"/>
      <c r="AA642" s="83"/>
      <c r="AB642" s="83"/>
      <c r="AC642" s="108"/>
      <c r="AD642" s="83"/>
      <c r="AE642" s="83"/>
      <c r="AF642" s="83"/>
      <c r="AG642" s="83"/>
      <c r="AH642" s="83"/>
      <c r="AI642" s="83"/>
      <c r="AJ642" s="83"/>
      <c r="AK642" s="83"/>
      <c r="AL642" s="83"/>
      <c r="AM642" s="83"/>
      <c r="AN642" s="108"/>
      <c r="AO642" s="83"/>
      <c r="AP642" s="83"/>
      <c r="AQ642" s="83"/>
      <c r="AR642" s="83"/>
      <c r="AS642" s="83"/>
      <c r="AT642" s="83"/>
      <c r="AU642" s="83"/>
      <c r="AV642" s="83"/>
      <c r="AW642" s="83"/>
      <c r="AX642" s="108"/>
      <c r="AY642" s="108"/>
      <c r="AZ642" s="83"/>
      <c r="BA642" s="83"/>
      <c r="BB642" s="83"/>
      <c r="BC642" s="83"/>
      <c r="BD642" s="83"/>
      <c r="BE642" s="83"/>
      <c r="BF642" s="83"/>
      <c r="BG642" s="83"/>
      <c r="BH642" s="83"/>
      <c r="BI642" s="108"/>
      <c r="BJ642" s="108"/>
      <c r="BK642" s="108"/>
      <c r="BL642" s="108"/>
      <c r="BM642" s="108"/>
      <c r="BN642" s="108"/>
      <c r="BO642" s="108"/>
      <c r="BP642" s="108"/>
    </row>
    <row r="643" spans="2:68" s="56" customFormat="1" x14ac:dyDescent="0.25">
      <c r="B643" s="11"/>
      <c r="C643" s="82"/>
      <c r="D643" s="82"/>
      <c r="E643" s="190"/>
      <c r="F643" s="110"/>
      <c r="G643" s="190"/>
      <c r="H643" s="70"/>
      <c r="I643" s="70"/>
      <c r="J643" s="70"/>
      <c r="K643" s="70"/>
      <c r="L643" s="70"/>
      <c r="M643" s="70"/>
      <c r="Q643" s="83"/>
      <c r="R643" s="108"/>
      <c r="S643" s="83"/>
      <c r="T643" s="83"/>
      <c r="U643" s="83"/>
      <c r="V643" s="83"/>
      <c r="W643" s="83"/>
      <c r="X643" s="83"/>
      <c r="Y643" s="83"/>
      <c r="Z643" s="83"/>
      <c r="AA643" s="83"/>
      <c r="AB643" s="83"/>
      <c r="AC643" s="108"/>
      <c r="AD643" s="83"/>
      <c r="AE643" s="83"/>
      <c r="AF643" s="83"/>
      <c r="AG643" s="83"/>
      <c r="AH643" s="83"/>
      <c r="AI643" s="83"/>
      <c r="AJ643" s="83"/>
      <c r="AK643" s="83"/>
      <c r="AL643" s="83"/>
      <c r="AM643" s="83"/>
      <c r="AN643" s="108"/>
      <c r="AO643" s="83"/>
      <c r="AP643" s="83"/>
      <c r="AQ643" s="83"/>
      <c r="AR643" s="83"/>
      <c r="AS643" s="83"/>
      <c r="AT643" s="83"/>
      <c r="AU643" s="83"/>
      <c r="AV643" s="83"/>
      <c r="AW643" s="83"/>
      <c r="AX643" s="108"/>
      <c r="AY643" s="108"/>
      <c r="AZ643" s="83"/>
      <c r="BA643" s="83"/>
      <c r="BB643" s="83"/>
      <c r="BC643" s="83"/>
      <c r="BD643" s="83"/>
      <c r="BE643" s="83"/>
      <c r="BF643" s="83"/>
      <c r="BG643" s="83"/>
      <c r="BH643" s="83"/>
      <c r="BI643" s="108"/>
      <c r="BJ643" s="108"/>
      <c r="BK643" s="108"/>
      <c r="BL643" s="108"/>
      <c r="BM643" s="108"/>
      <c r="BN643" s="108"/>
      <c r="BO643" s="108"/>
      <c r="BP643" s="108"/>
    </row>
    <row r="644" spans="2:68" s="56" customFormat="1" x14ac:dyDescent="0.25">
      <c r="B644" s="11"/>
      <c r="C644" s="82"/>
      <c r="D644" s="82"/>
      <c r="E644" s="190"/>
      <c r="F644" s="110"/>
      <c r="G644" s="190"/>
      <c r="H644" s="70"/>
      <c r="I644" s="70"/>
      <c r="J644" s="70"/>
      <c r="K644" s="70"/>
      <c r="L644" s="70"/>
      <c r="M644" s="70"/>
      <c r="Q644" s="83"/>
      <c r="R644" s="108"/>
      <c r="S644" s="83"/>
      <c r="T644" s="83"/>
      <c r="U644" s="83"/>
      <c r="V644" s="83"/>
      <c r="W644" s="83"/>
      <c r="X644" s="83"/>
      <c r="Y644" s="83"/>
      <c r="Z644" s="83"/>
      <c r="AA644" s="83"/>
      <c r="AB644" s="83"/>
      <c r="AC644" s="108"/>
      <c r="AD644" s="83"/>
      <c r="AE644" s="83"/>
      <c r="AF644" s="83"/>
      <c r="AG644" s="83"/>
      <c r="AH644" s="83"/>
      <c r="AI644" s="83"/>
      <c r="AJ644" s="83"/>
      <c r="AK644" s="83"/>
      <c r="AL644" s="83"/>
      <c r="AM644" s="83"/>
      <c r="AN644" s="108"/>
      <c r="AO644" s="83"/>
      <c r="AP644" s="83"/>
      <c r="AQ644" s="83"/>
      <c r="AR644" s="83"/>
      <c r="AS644" s="83"/>
      <c r="AT644" s="83"/>
      <c r="AU644" s="83"/>
      <c r="AV644" s="83"/>
      <c r="AW644" s="83"/>
      <c r="AX644" s="108"/>
      <c r="AY644" s="108"/>
      <c r="AZ644" s="83"/>
      <c r="BA644" s="83"/>
      <c r="BB644" s="83"/>
      <c r="BC644" s="83"/>
      <c r="BD644" s="83"/>
      <c r="BE644" s="83"/>
      <c r="BF644" s="83"/>
      <c r="BG644" s="83"/>
      <c r="BH644" s="83"/>
      <c r="BI644" s="108"/>
      <c r="BJ644" s="108"/>
      <c r="BK644" s="108"/>
      <c r="BL644" s="108"/>
      <c r="BM644" s="108"/>
      <c r="BN644" s="108"/>
      <c r="BO644" s="108"/>
      <c r="BP644" s="108"/>
    </row>
    <row r="645" spans="2:68" s="56" customFormat="1" x14ac:dyDescent="0.25">
      <c r="B645" s="11"/>
      <c r="C645" s="82"/>
      <c r="D645" s="82"/>
      <c r="E645" s="190"/>
      <c r="F645" s="110"/>
      <c r="G645" s="190"/>
      <c r="H645" s="70"/>
      <c r="I645" s="70"/>
      <c r="J645" s="70"/>
      <c r="K645" s="70"/>
      <c r="L645" s="70"/>
      <c r="M645" s="70"/>
      <c r="Q645" s="83"/>
      <c r="R645" s="108"/>
      <c r="S645" s="83"/>
      <c r="T645" s="83"/>
      <c r="U645" s="83"/>
      <c r="V645" s="83"/>
      <c r="W645" s="83"/>
      <c r="X645" s="83"/>
      <c r="Y645" s="83"/>
      <c r="Z645" s="83"/>
      <c r="AA645" s="83"/>
      <c r="AB645" s="83"/>
      <c r="AC645" s="108"/>
      <c r="AD645" s="83"/>
      <c r="AE645" s="83"/>
      <c r="AF645" s="83"/>
      <c r="AG645" s="83"/>
      <c r="AH645" s="83"/>
      <c r="AI645" s="83"/>
      <c r="AJ645" s="83"/>
      <c r="AK645" s="83"/>
      <c r="AL645" s="83"/>
      <c r="AM645" s="83"/>
      <c r="AN645" s="108"/>
      <c r="AO645" s="83"/>
      <c r="AP645" s="83"/>
      <c r="AQ645" s="83"/>
      <c r="AR645" s="83"/>
      <c r="AS645" s="83"/>
      <c r="AT645" s="83"/>
      <c r="AU645" s="83"/>
      <c r="AV645" s="83"/>
      <c r="AW645" s="83"/>
      <c r="AX645" s="108"/>
      <c r="AY645" s="108"/>
      <c r="AZ645" s="83"/>
      <c r="BA645" s="83"/>
      <c r="BB645" s="83"/>
      <c r="BC645" s="83"/>
      <c r="BD645" s="83"/>
      <c r="BE645" s="83"/>
      <c r="BF645" s="83"/>
      <c r="BG645" s="83"/>
      <c r="BH645" s="83"/>
      <c r="BI645" s="108"/>
      <c r="BJ645" s="108"/>
      <c r="BK645" s="108"/>
      <c r="BL645" s="108"/>
      <c r="BM645" s="108"/>
      <c r="BN645" s="108"/>
      <c r="BO645" s="108"/>
      <c r="BP645" s="108"/>
    </row>
    <row r="646" spans="2:68" s="56" customFormat="1" x14ac:dyDescent="0.25">
      <c r="B646" s="11"/>
      <c r="C646" s="82"/>
      <c r="D646" s="82"/>
      <c r="E646" s="190"/>
      <c r="F646" s="110"/>
      <c r="G646" s="190"/>
      <c r="H646" s="70"/>
      <c r="I646" s="70"/>
      <c r="J646" s="70"/>
      <c r="K646" s="70"/>
      <c r="L646" s="70"/>
      <c r="M646" s="70"/>
      <c r="Q646" s="83"/>
      <c r="R646" s="108"/>
      <c r="S646" s="83"/>
      <c r="T646" s="83"/>
      <c r="U646" s="83"/>
      <c r="V646" s="83"/>
      <c r="W646" s="83"/>
      <c r="X646" s="83"/>
      <c r="Y646" s="83"/>
      <c r="Z646" s="83"/>
      <c r="AA646" s="83"/>
      <c r="AB646" s="83"/>
      <c r="AC646" s="108"/>
      <c r="AD646" s="83"/>
      <c r="AE646" s="83"/>
      <c r="AF646" s="83"/>
      <c r="AG646" s="83"/>
      <c r="AH646" s="83"/>
      <c r="AI646" s="83"/>
      <c r="AJ646" s="83"/>
      <c r="AK646" s="83"/>
      <c r="AL646" s="83"/>
      <c r="AM646" s="83"/>
      <c r="AN646" s="108"/>
      <c r="AO646" s="83"/>
      <c r="AP646" s="83"/>
      <c r="AQ646" s="83"/>
      <c r="AR646" s="83"/>
      <c r="AS646" s="83"/>
      <c r="AT646" s="83"/>
      <c r="AU646" s="83"/>
      <c r="AV646" s="83"/>
      <c r="AW646" s="83"/>
      <c r="AX646" s="108"/>
      <c r="AY646" s="108"/>
      <c r="AZ646" s="83"/>
      <c r="BA646" s="83"/>
      <c r="BB646" s="83"/>
      <c r="BC646" s="83"/>
      <c r="BD646" s="83"/>
      <c r="BE646" s="83"/>
      <c r="BF646" s="83"/>
      <c r="BG646" s="83"/>
      <c r="BH646" s="83"/>
      <c r="BI646" s="108"/>
      <c r="BJ646" s="108"/>
      <c r="BK646" s="108"/>
      <c r="BL646" s="108"/>
      <c r="BM646" s="108"/>
      <c r="BN646" s="108"/>
      <c r="BO646" s="108"/>
      <c r="BP646" s="108"/>
    </row>
    <row r="647" spans="2:68" s="56" customFormat="1" x14ac:dyDescent="0.25">
      <c r="B647" s="11"/>
      <c r="C647" s="82"/>
      <c r="D647" s="82"/>
      <c r="E647" s="190"/>
      <c r="F647" s="110"/>
      <c r="G647" s="190"/>
      <c r="H647" s="70"/>
      <c r="I647" s="70"/>
      <c r="J647" s="70"/>
      <c r="K647" s="70"/>
      <c r="L647" s="70"/>
      <c r="M647" s="70"/>
      <c r="Q647" s="83"/>
      <c r="R647" s="108"/>
      <c r="S647" s="83"/>
      <c r="T647" s="83"/>
      <c r="U647" s="83"/>
      <c r="V647" s="83"/>
      <c r="W647" s="83"/>
      <c r="X647" s="83"/>
      <c r="Y647" s="83"/>
      <c r="Z647" s="83"/>
      <c r="AA647" s="83"/>
      <c r="AB647" s="83"/>
      <c r="AC647" s="108"/>
      <c r="AD647" s="83"/>
      <c r="AE647" s="83"/>
      <c r="AF647" s="83"/>
      <c r="AG647" s="83"/>
      <c r="AH647" s="83"/>
      <c r="AI647" s="83"/>
      <c r="AJ647" s="83"/>
      <c r="AK647" s="83"/>
      <c r="AL647" s="83"/>
      <c r="AM647" s="83"/>
      <c r="AN647" s="108"/>
      <c r="AO647" s="83"/>
      <c r="AP647" s="83"/>
      <c r="AQ647" s="83"/>
      <c r="AR647" s="83"/>
      <c r="AS647" s="83"/>
      <c r="AT647" s="83"/>
      <c r="AU647" s="83"/>
      <c r="AV647" s="83"/>
      <c r="AW647" s="83"/>
      <c r="AX647" s="108"/>
      <c r="AY647" s="108"/>
      <c r="AZ647" s="83"/>
      <c r="BA647" s="83"/>
      <c r="BB647" s="83"/>
      <c r="BC647" s="83"/>
      <c r="BD647" s="83"/>
      <c r="BE647" s="83"/>
      <c r="BF647" s="83"/>
      <c r="BG647" s="83"/>
      <c r="BH647" s="83"/>
      <c r="BI647" s="108"/>
      <c r="BJ647" s="108"/>
      <c r="BK647" s="108"/>
      <c r="BL647" s="108"/>
      <c r="BM647" s="108"/>
      <c r="BN647" s="108"/>
      <c r="BO647" s="108"/>
      <c r="BP647" s="108"/>
    </row>
    <row r="648" spans="2:68" s="56" customFormat="1" x14ac:dyDescent="0.25">
      <c r="B648" s="11"/>
      <c r="C648" s="82"/>
      <c r="D648" s="82"/>
      <c r="E648" s="190"/>
      <c r="F648" s="110"/>
      <c r="G648" s="190"/>
      <c r="H648" s="70"/>
      <c r="I648" s="70"/>
      <c r="J648" s="70"/>
      <c r="K648" s="70"/>
      <c r="L648" s="70"/>
      <c r="M648" s="70"/>
      <c r="Q648" s="83"/>
      <c r="R648" s="108"/>
      <c r="S648" s="83"/>
      <c r="T648" s="83"/>
      <c r="U648" s="83"/>
      <c r="V648" s="83"/>
      <c r="W648" s="83"/>
      <c r="X648" s="83"/>
      <c r="Y648" s="83"/>
      <c r="Z648" s="83"/>
      <c r="AA648" s="83"/>
      <c r="AB648" s="83"/>
      <c r="AC648" s="108"/>
      <c r="AD648" s="83"/>
      <c r="AE648" s="83"/>
      <c r="AF648" s="83"/>
      <c r="AG648" s="83"/>
      <c r="AH648" s="83"/>
      <c r="AI648" s="83"/>
      <c r="AJ648" s="83"/>
      <c r="AK648" s="83"/>
      <c r="AL648" s="83"/>
      <c r="AM648" s="83"/>
      <c r="AN648" s="108"/>
      <c r="AO648" s="83"/>
      <c r="AP648" s="83"/>
      <c r="AQ648" s="83"/>
      <c r="AR648" s="83"/>
      <c r="AS648" s="83"/>
      <c r="AT648" s="83"/>
      <c r="AU648" s="83"/>
      <c r="AV648" s="83"/>
      <c r="AW648" s="83"/>
      <c r="AX648" s="108"/>
      <c r="AY648" s="108"/>
      <c r="AZ648" s="83"/>
      <c r="BA648" s="83"/>
      <c r="BB648" s="83"/>
      <c r="BC648" s="83"/>
      <c r="BD648" s="83"/>
      <c r="BE648" s="83"/>
      <c r="BF648" s="83"/>
      <c r="BG648" s="83"/>
      <c r="BH648" s="83"/>
      <c r="BI648" s="108"/>
      <c r="BJ648" s="108"/>
      <c r="BK648" s="108"/>
      <c r="BL648" s="108"/>
      <c r="BM648" s="108"/>
      <c r="BN648" s="108"/>
      <c r="BO648" s="108"/>
      <c r="BP648" s="108"/>
    </row>
    <row r="649" spans="2:68" s="56" customFormat="1" x14ac:dyDescent="0.25">
      <c r="B649" s="11"/>
      <c r="C649" s="82"/>
      <c r="D649" s="82"/>
      <c r="E649" s="190"/>
      <c r="F649" s="110"/>
      <c r="G649" s="190"/>
      <c r="H649" s="70"/>
      <c r="I649" s="70"/>
      <c r="J649" s="70"/>
      <c r="K649" s="70"/>
      <c r="L649" s="70"/>
      <c r="M649" s="70"/>
      <c r="Q649" s="83"/>
      <c r="R649" s="108"/>
      <c r="S649" s="83"/>
      <c r="T649" s="83"/>
      <c r="U649" s="83"/>
      <c r="V649" s="83"/>
      <c r="W649" s="83"/>
      <c r="X649" s="83"/>
      <c r="Y649" s="83"/>
      <c r="Z649" s="83"/>
      <c r="AA649" s="83"/>
      <c r="AB649" s="83"/>
      <c r="AC649" s="108"/>
      <c r="AD649" s="83"/>
      <c r="AE649" s="83"/>
      <c r="AF649" s="83"/>
      <c r="AG649" s="83"/>
      <c r="AH649" s="83"/>
      <c r="AI649" s="83"/>
      <c r="AJ649" s="83"/>
      <c r="AK649" s="83"/>
      <c r="AL649" s="83"/>
      <c r="AM649" s="83"/>
      <c r="AN649" s="108"/>
      <c r="AO649" s="83"/>
      <c r="AP649" s="83"/>
      <c r="AQ649" s="83"/>
      <c r="AR649" s="83"/>
      <c r="AS649" s="83"/>
      <c r="AT649" s="83"/>
      <c r="AU649" s="83"/>
      <c r="AV649" s="83"/>
      <c r="AW649" s="83"/>
      <c r="AX649" s="108"/>
      <c r="AY649" s="108"/>
      <c r="AZ649" s="83"/>
      <c r="BA649" s="83"/>
      <c r="BB649" s="83"/>
      <c r="BC649" s="83"/>
      <c r="BD649" s="83"/>
      <c r="BE649" s="83"/>
      <c r="BF649" s="83"/>
      <c r="BG649" s="83"/>
      <c r="BH649" s="83"/>
      <c r="BI649" s="108"/>
      <c r="BJ649" s="108"/>
      <c r="BK649" s="108"/>
      <c r="BL649" s="108"/>
      <c r="BM649" s="108"/>
      <c r="BN649" s="108"/>
      <c r="BO649" s="108"/>
      <c r="BP649" s="108"/>
    </row>
    <row r="650" spans="2:68" s="56" customFormat="1" x14ac:dyDescent="0.25">
      <c r="B650" s="11"/>
      <c r="C650" s="82"/>
      <c r="D650" s="82"/>
      <c r="E650" s="190"/>
      <c r="F650" s="110"/>
      <c r="G650" s="190"/>
      <c r="H650" s="70"/>
      <c r="I650" s="70"/>
      <c r="J650" s="70"/>
      <c r="K650" s="70"/>
      <c r="L650" s="70"/>
      <c r="M650" s="70"/>
      <c r="Q650" s="83"/>
      <c r="R650" s="108"/>
      <c r="S650" s="83"/>
      <c r="T650" s="83"/>
      <c r="U650" s="83"/>
      <c r="V650" s="83"/>
      <c r="W650" s="83"/>
      <c r="X650" s="83"/>
      <c r="Y650" s="83"/>
      <c r="Z650" s="83"/>
      <c r="AA650" s="83"/>
      <c r="AB650" s="83"/>
      <c r="AC650" s="108"/>
      <c r="AD650" s="83"/>
      <c r="AE650" s="83"/>
      <c r="AF650" s="83"/>
      <c r="AG650" s="83"/>
      <c r="AH650" s="83"/>
      <c r="AI650" s="83"/>
      <c r="AJ650" s="83"/>
      <c r="AK650" s="83"/>
      <c r="AL650" s="83"/>
      <c r="AM650" s="83"/>
      <c r="AN650" s="108"/>
      <c r="AO650" s="83"/>
      <c r="AP650" s="83"/>
      <c r="AQ650" s="83"/>
      <c r="AR650" s="83"/>
      <c r="AS650" s="83"/>
      <c r="AT650" s="83"/>
      <c r="AU650" s="83"/>
      <c r="AV650" s="83"/>
      <c r="AW650" s="83"/>
      <c r="AX650" s="108"/>
      <c r="AY650" s="108"/>
      <c r="AZ650" s="83"/>
      <c r="BA650" s="83"/>
      <c r="BB650" s="83"/>
      <c r="BC650" s="83"/>
      <c r="BD650" s="83"/>
      <c r="BE650" s="83"/>
      <c r="BF650" s="83"/>
      <c r="BG650" s="83"/>
      <c r="BH650" s="83"/>
      <c r="BI650" s="108"/>
      <c r="BJ650" s="108"/>
      <c r="BK650" s="108"/>
      <c r="BL650" s="108"/>
      <c r="BM650" s="108"/>
      <c r="BN650" s="108"/>
      <c r="BO650" s="108"/>
      <c r="BP650" s="108"/>
    </row>
    <row r="651" spans="2:68" s="56" customFormat="1" x14ac:dyDescent="0.25">
      <c r="B651" s="11"/>
      <c r="C651" s="82"/>
      <c r="D651" s="82"/>
      <c r="E651" s="190"/>
      <c r="F651" s="110"/>
      <c r="G651" s="190"/>
      <c r="H651" s="70"/>
      <c r="I651" s="70"/>
      <c r="J651" s="70"/>
      <c r="K651" s="70"/>
      <c r="L651" s="70"/>
      <c r="M651" s="70"/>
      <c r="Q651" s="83"/>
      <c r="R651" s="108"/>
      <c r="S651" s="83"/>
      <c r="T651" s="83"/>
      <c r="U651" s="83"/>
      <c r="V651" s="83"/>
      <c r="W651" s="83"/>
      <c r="X651" s="83"/>
      <c r="Y651" s="83"/>
      <c r="Z651" s="83"/>
      <c r="AA651" s="83"/>
      <c r="AB651" s="83"/>
      <c r="AC651" s="108"/>
      <c r="AD651" s="83"/>
      <c r="AE651" s="83"/>
      <c r="AF651" s="83"/>
      <c r="AG651" s="83"/>
      <c r="AH651" s="83"/>
      <c r="AI651" s="83"/>
      <c r="AJ651" s="83"/>
      <c r="AK651" s="83"/>
      <c r="AL651" s="83"/>
      <c r="AM651" s="83"/>
      <c r="AN651" s="108"/>
      <c r="AO651" s="83"/>
      <c r="AP651" s="83"/>
      <c r="AQ651" s="83"/>
      <c r="AR651" s="83"/>
      <c r="AS651" s="83"/>
      <c r="AT651" s="83"/>
      <c r="AU651" s="83"/>
      <c r="AV651" s="83"/>
      <c r="AW651" s="83"/>
      <c r="AX651" s="108"/>
      <c r="AY651" s="108"/>
      <c r="AZ651" s="83"/>
      <c r="BA651" s="83"/>
      <c r="BB651" s="83"/>
      <c r="BC651" s="83"/>
      <c r="BD651" s="83"/>
      <c r="BE651" s="83"/>
      <c r="BF651" s="83"/>
      <c r="BG651" s="83"/>
      <c r="BH651" s="83"/>
      <c r="BI651" s="108"/>
      <c r="BJ651" s="108"/>
      <c r="BK651" s="108"/>
      <c r="BL651" s="108"/>
      <c r="BM651" s="108"/>
      <c r="BN651" s="108"/>
      <c r="BO651" s="108"/>
      <c r="BP651" s="108"/>
    </row>
    <row r="652" spans="2:68" s="56" customFormat="1" x14ac:dyDescent="0.25">
      <c r="B652" s="11"/>
      <c r="C652" s="82"/>
      <c r="D652" s="82"/>
      <c r="E652" s="190"/>
      <c r="F652" s="110"/>
      <c r="G652" s="190"/>
      <c r="H652" s="70"/>
      <c r="I652" s="70"/>
      <c r="J652" s="70"/>
      <c r="K652" s="70"/>
      <c r="L652" s="70"/>
      <c r="M652" s="70"/>
      <c r="Q652" s="83"/>
      <c r="R652" s="108"/>
      <c r="S652" s="83"/>
      <c r="T652" s="83"/>
      <c r="U652" s="83"/>
      <c r="V652" s="83"/>
      <c r="W652" s="83"/>
      <c r="X652" s="83"/>
      <c r="Y652" s="83"/>
      <c r="Z652" s="83"/>
      <c r="AA652" s="83"/>
      <c r="AB652" s="83"/>
      <c r="AC652" s="108"/>
      <c r="AD652" s="83"/>
      <c r="AE652" s="83"/>
      <c r="AF652" s="83"/>
      <c r="AG652" s="83"/>
      <c r="AH652" s="83"/>
      <c r="AI652" s="83"/>
      <c r="AJ652" s="83"/>
      <c r="AK652" s="83"/>
      <c r="AL652" s="83"/>
      <c r="AM652" s="83"/>
      <c r="AN652" s="108"/>
      <c r="AO652" s="83"/>
      <c r="AP652" s="83"/>
      <c r="AQ652" s="83"/>
      <c r="AR652" s="83"/>
      <c r="AS652" s="83"/>
      <c r="AT652" s="83"/>
      <c r="AU652" s="83"/>
      <c r="AV652" s="83"/>
      <c r="AW652" s="83"/>
      <c r="AX652" s="108"/>
      <c r="AY652" s="108"/>
      <c r="AZ652" s="83"/>
      <c r="BA652" s="83"/>
      <c r="BB652" s="83"/>
      <c r="BC652" s="83"/>
      <c r="BD652" s="83"/>
      <c r="BE652" s="83"/>
      <c r="BF652" s="83"/>
      <c r="BG652" s="83"/>
      <c r="BH652" s="83"/>
      <c r="BI652" s="108"/>
      <c r="BJ652" s="108"/>
      <c r="BK652" s="108"/>
      <c r="BL652" s="108"/>
      <c r="BM652" s="108"/>
      <c r="BN652" s="108"/>
      <c r="BO652" s="108"/>
      <c r="BP652" s="108"/>
    </row>
    <row r="653" spans="2:68" s="56" customFormat="1" x14ac:dyDescent="0.25">
      <c r="B653" s="11"/>
      <c r="C653" s="82"/>
      <c r="D653" s="82"/>
      <c r="E653" s="190"/>
      <c r="F653" s="110"/>
      <c r="G653" s="190"/>
      <c r="H653" s="70"/>
      <c r="I653" s="70"/>
      <c r="J653" s="70"/>
      <c r="K653" s="70"/>
      <c r="L653" s="70"/>
      <c r="M653" s="70"/>
      <c r="Q653" s="83"/>
      <c r="R653" s="108"/>
      <c r="S653" s="83"/>
      <c r="T653" s="83"/>
      <c r="U653" s="83"/>
      <c r="V653" s="83"/>
      <c r="W653" s="83"/>
      <c r="X653" s="83"/>
      <c r="Y653" s="83"/>
      <c r="Z653" s="83"/>
      <c r="AA653" s="83"/>
      <c r="AB653" s="83"/>
      <c r="AC653" s="108"/>
      <c r="AD653" s="83"/>
      <c r="AE653" s="83"/>
      <c r="AF653" s="83"/>
      <c r="AG653" s="83"/>
      <c r="AH653" s="83"/>
      <c r="AI653" s="83"/>
      <c r="AJ653" s="83"/>
      <c r="AK653" s="83"/>
      <c r="AL653" s="83"/>
      <c r="AM653" s="83"/>
      <c r="AN653" s="108"/>
      <c r="AO653" s="83"/>
      <c r="AP653" s="83"/>
      <c r="AQ653" s="83"/>
      <c r="AR653" s="83"/>
      <c r="AS653" s="83"/>
      <c r="AT653" s="83"/>
      <c r="AU653" s="83"/>
      <c r="AV653" s="83"/>
      <c r="AW653" s="83"/>
      <c r="AX653" s="108"/>
      <c r="AY653" s="108"/>
      <c r="AZ653" s="83"/>
      <c r="BA653" s="83"/>
      <c r="BB653" s="83"/>
      <c r="BC653" s="83"/>
      <c r="BD653" s="83"/>
      <c r="BE653" s="83"/>
      <c r="BF653" s="83"/>
      <c r="BG653" s="83"/>
      <c r="BH653" s="83"/>
      <c r="BI653" s="108"/>
      <c r="BJ653" s="108"/>
      <c r="BK653" s="108"/>
      <c r="BL653" s="108"/>
      <c r="BM653" s="108"/>
      <c r="BN653" s="108"/>
      <c r="BO653" s="108"/>
      <c r="BP653" s="108"/>
    </row>
    <row r="654" spans="2:68" s="56" customFormat="1" x14ac:dyDescent="0.25">
      <c r="B654" s="11"/>
      <c r="C654" s="82"/>
      <c r="D654" s="82"/>
      <c r="E654" s="190"/>
      <c r="F654" s="110"/>
      <c r="G654" s="190"/>
      <c r="H654" s="70"/>
      <c r="I654" s="70"/>
      <c r="J654" s="70"/>
      <c r="K654" s="70"/>
      <c r="L654" s="70"/>
      <c r="M654" s="70"/>
      <c r="Q654" s="83"/>
      <c r="R654" s="108"/>
      <c r="S654" s="83"/>
      <c r="T654" s="83"/>
      <c r="U654" s="83"/>
      <c r="V654" s="83"/>
      <c r="W654" s="83"/>
      <c r="X654" s="83"/>
      <c r="Y654" s="83"/>
      <c r="Z654" s="83"/>
      <c r="AA654" s="83"/>
      <c r="AB654" s="83"/>
      <c r="AC654" s="108"/>
      <c r="AD654" s="83"/>
      <c r="AE654" s="83"/>
      <c r="AF654" s="83"/>
      <c r="AG654" s="83"/>
      <c r="AH654" s="83"/>
      <c r="AI654" s="83"/>
      <c r="AJ654" s="83"/>
      <c r="AK654" s="83"/>
      <c r="AL654" s="83"/>
      <c r="AM654" s="83"/>
      <c r="AN654" s="108"/>
      <c r="AO654" s="83"/>
      <c r="AP654" s="83"/>
      <c r="AQ654" s="83"/>
      <c r="AR654" s="83"/>
      <c r="AS654" s="83"/>
      <c r="AT654" s="83"/>
      <c r="AU654" s="83"/>
      <c r="AV654" s="83"/>
      <c r="AW654" s="83"/>
      <c r="AX654" s="108"/>
      <c r="AY654" s="108"/>
      <c r="AZ654" s="83"/>
      <c r="BA654" s="83"/>
      <c r="BB654" s="83"/>
      <c r="BC654" s="83"/>
      <c r="BD654" s="83"/>
      <c r="BE654" s="83"/>
      <c r="BF654" s="83"/>
      <c r="BG654" s="83"/>
      <c r="BH654" s="83"/>
      <c r="BI654" s="108"/>
      <c r="BJ654" s="108"/>
      <c r="BK654" s="108"/>
      <c r="BL654" s="108"/>
      <c r="BM654" s="108"/>
      <c r="BN654" s="108"/>
      <c r="BO654" s="108"/>
      <c r="BP654" s="108"/>
    </row>
    <row r="655" spans="2:68" s="56" customFormat="1" x14ac:dyDescent="0.25">
      <c r="B655" s="11"/>
      <c r="C655" s="82"/>
      <c r="D655" s="82"/>
      <c r="E655" s="190"/>
      <c r="F655" s="110"/>
      <c r="G655" s="190"/>
      <c r="H655" s="70"/>
      <c r="I655" s="70"/>
      <c r="J655" s="70"/>
      <c r="K655" s="70"/>
      <c r="L655" s="70"/>
      <c r="M655" s="70"/>
      <c r="Q655" s="83"/>
      <c r="R655" s="108"/>
      <c r="S655" s="83"/>
      <c r="T655" s="83"/>
      <c r="U655" s="83"/>
      <c r="V655" s="83"/>
      <c r="W655" s="83"/>
      <c r="X655" s="83"/>
      <c r="Y655" s="83"/>
      <c r="Z655" s="83"/>
      <c r="AA655" s="83"/>
      <c r="AB655" s="83"/>
      <c r="AC655" s="108"/>
      <c r="AD655" s="83"/>
      <c r="AE655" s="83"/>
      <c r="AF655" s="83"/>
      <c r="AG655" s="83"/>
      <c r="AH655" s="83"/>
      <c r="AI655" s="83"/>
      <c r="AJ655" s="83"/>
      <c r="AK655" s="83"/>
      <c r="AL655" s="83"/>
      <c r="AM655" s="83"/>
      <c r="AN655" s="108"/>
      <c r="AO655" s="83"/>
      <c r="AP655" s="83"/>
      <c r="AQ655" s="83"/>
      <c r="AR655" s="83"/>
      <c r="AS655" s="83"/>
      <c r="AT655" s="83"/>
      <c r="AU655" s="83"/>
      <c r="AV655" s="83"/>
      <c r="AW655" s="83"/>
      <c r="AX655" s="108"/>
      <c r="AY655" s="108"/>
      <c r="AZ655" s="83"/>
      <c r="BA655" s="83"/>
      <c r="BB655" s="83"/>
      <c r="BC655" s="83"/>
      <c r="BD655" s="83"/>
      <c r="BE655" s="83"/>
      <c r="BF655" s="83"/>
      <c r="BG655" s="83"/>
      <c r="BH655" s="83"/>
      <c r="BI655" s="108"/>
      <c r="BJ655" s="108"/>
      <c r="BK655" s="108"/>
      <c r="BL655" s="108"/>
      <c r="BM655" s="108"/>
      <c r="BN655" s="108"/>
      <c r="BO655" s="108"/>
      <c r="BP655" s="108"/>
    </row>
    <row r="656" spans="2:68" s="56" customFormat="1" x14ac:dyDescent="0.25">
      <c r="B656" s="11"/>
      <c r="C656" s="82"/>
      <c r="D656" s="82"/>
      <c r="E656" s="190"/>
      <c r="F656" s="110"/>
      <c r="G656" s="190"/>
      <c r="H656" s="70"/>
      <c r="I656" s="70"/>
      <c r="J656" s="70"/>
      <c r="K656" s="70"/>
      <c r="L656" s="70"/>
      <c r="M656" s="70"/>
      <c r="Q656" s="83"/>
      <c r="R656" s="108"/>
      <c r="S656" s="83"/>
      <c r="T656" s="83"/>
      <c r="U656" s="83"/>
      <c r="V656" s="83"/>
      <c r="W656" s="83"/>
      <c r="X656" s="83"/>
      <c r="Y656" s="83"/>
      <c r="Z656" s="83"/>
      <c r="AA656" s="83"/>
      <c r="AB656" s="83"/>
      <c r="AC656" s="108"/>
      <c r="AD656" s="83"/>
      <c r="AE656" s="83"/>
      <c r="AF656" s="83"/>
      <c r="AG656" s="83"/>
      <c r="AH656" s="83"/>
      <c r="AI656" s="83"/>
      <c r="AJ656" s="83"/>
      <c r="AK656" s="83"/>
      <c r="AL656" s="83"/>
      <c r="AM656" s="83"/>
      <c r="AN656" s="108"/>
      <c r="AO656" s="83"/>
      <c r="AP656" s="83"/>
      <c r="AQ656" s="83"/>
      <c r="AR656" s="83"/>
      <c r="AS656" s="83"/>
      <c r="AT656" s="83"/>
      <c r="AU656" s="83"/>
      <c r="AV656" s="83"/>
      <c r="AW656" s="83"/>
      <c r="AX656" s="108"/>
      <c r="AY656" s="108"/>
      <c r="AZ656" s="83"/>
      <c r="BA656" s="83"/>
      <c r="BB656" s="83"/>
      <c r="BC656" s="83"/>
      <c r="BD656" s="83"/>
      <c r="BE656" s="83"/>
      <c r="BF656" s="83"/>
      <c r="BG656" s="83"/>
      <c r="BH656" s="83"/>
      <c r="BI656" s="108"/>
      <c r="BJ656" s="108"/>
      <c r="BK656" s="108"/>
      <c r="BL656" s="108"/>
      <c r="BM656" s="108"/>
      <c r="BN656" s="108"/>
      <c r="BO656" s="108"/>
      <c r="BP656" s="108"/>
    </row>
    <row r="657" spans="2:68" s="56" customFormat="1" x14ac:dyDescent="0.25">
      <c r="B657" s="11"/>
      <c r="C657" s="82"/>
      <c r="D657" s="82"/>
      <c r="E657" s="190"/>
      <c r="F657" s="110"/>
      <c r="G657" s="190"/>
      <c r="H657" s="70"/>
      <c r="I657" s="70"/>
      <c r="J657" s="70"/>
      <c r="K657" s="70"/>
      <c r="L657" s="70"/>
      <c r="M657" s="70"/>
      <c r="Q657" s="83"/>
      <c r="R657" s="108"/>
      <c r="S657" s="83"/>
      <c r="T657" s="83"/>
      <c r="U657" s="83"/>
      <c r="V657" s="83"/>
      <c r="W657" s="83"/>
      <c r="X657" s="83"/>
      <c r="Y657" s="83"/>
      <c r="Z657" s="83"/>
      <c r="AA657" s="83"/>
      <c r="AB657" s="83"/>
      <c r="AC657" s="108"/>
      <c r="AD657" s="83"/>
      <c r="AE657" s="83"/>
      <c r="AF657" s="83"/>
      <c r="AG657" s="83"/>
      <c r="AH657" s="83"/>
      <c r="AI657" s="83"/>
      <c r="AJ657" s="83"/>
      <c r="AK657" s="83"/>
      <c r="AL657" s="83"/>
      <c r="AM657" s="83"/>
      <c r="AN657" s="108"/>
      <c r="AO657" s="83"/>
      <c r="AP657" s="83"/>
      <c r="AQ657" s="83"/>
      <c r="AR657" s="83"/>
      <c r="AS657" s="83"/>
      <c r="AT657" s="83"/>
      <c r="AU657" s="83"/>
      <c r="AV657" s="83"/>
      <c r="AW657" s="83"/>
      <c r="AX657" s="108"/>
      <c r="AY657" s="108"/>
      <c r="AZ657" s="83"/>
      <c r="BA657" s="83"/>
      <c r="BB657" s="83"/>
      <c r="BC657" s="83"/>
      <c r="BD657" s="83"/>
      <c r="BE657" s="83"/>
      <c r="BF657" s="83"/>
      <c r="BG657" s="83"/>
      <c r="BH657" s="83"/>
      <c r="BI657" s="108"/>
      <c r="BJ657" s="108"/>
      <c r="BK657" s="108"/>
      <c r="BL657" s="108"/>
      <c r="BM657" s="108"/>
      <c r="BN657" s="108"/>
      <c r="BO657" s="108"/>
      <c r="BP657" s="108"/>
    </row>
    <row r="658" spans="2:68" s="56" customFormat="1" x14ac:dyDescent="0.25">
      <c r="B658" s="11"/>
      <c r="C658" s="82"/>
      <c r="D658" s="82"/>
      <c r="E658" s="190"/>
      <c r="F658" s="110"/>
      <c r="G658" s="190"/>
      <c r="H658" s="70"/>
      <c r="I658" s="70"/>
      <c r="J658" s="70"/>
      <c r="K658" s="70"/>
      <c r="L658" s="70"/>
      <c r="M658" s="70"/>
      <c r="Q658" s="83"/>
      <c r="R658" s="108"/>
      <c r="S658" s="83"/>
      <c r="T658" s="83"/>
      <c r="U658" s="83"/>
      <c r="V658" s="83"/>
      <c r="W658" s="83"/>
      <c r="X658" s="83"/>
      <c r="Y658" s="83"/>
      <c r="Z658" s="83"/>
      <c r="AA658" s="83"/>
      <c r="AB658" s="83"/>
      <c r="AC658" s="108"/>
      <c r="AD658" s="83"/>
      <c r="AE658" s="83"/>
      <c r="AF658" s="83"/>
      <c r="AG658" s="83"/>
      <c r="AH658" s="83"/>
      <c r="AI658" s="83"/>
      <c r="AJ658" s="83"/>
      <c r="AK658" s="83"/>
      <c r="AL658" s="83"/>
      <c r="AM658" s="83"/>
      <c r="AN658" s="108"/>
      <c r="AO658" s="83"/>
      <c r="AP658" s="83"/>
      <c r="AQ658" s="83"/>
      <c r="AR658" s="83"/>
      <c r="AS658" s="83"/>
      <c r="AT658" s="83"/>
      <c r="AU658" s="83"/>
      <c r="AV658" s="83"/>
      <c r="AW658" s="83"/>
      <c r="AX658" s="108"/>
      <c r="AY658" s="108"/>
      <c r="AZ658" s="83"/>
      <c r="BA658" s="83"/>
      <c r="BB658" s="83"/>
      <c r="BC658" s="83"/>
      <c r="BD658" s="83"/>
      <c r="BE658" s="83"/>
      <c r="BF658" s="83"/>
      <c r="BG658" s="83"/>
      <c r="BH658" s="83"/>
      <c r="BI658" s="108"/>
      <c r="BJ658" s="108"/>
      <c r="BK658" s="108"/>
      <c r="BL658" s="108"/>
      <c r="BM658" s="108"/>
      <c r="BN658" s="108"/>
      <c r="BO658" s="108"/>
      <c r="BP658" s="108"/>
    </row>
    <row r="659" spans="2:68" s="56" customFormat="1" x14ac:dyDescent="0.25">
      <c r="B659" s="11"/>
      <c r="C659" s="82"/>
      <c r="D659" s="82"/>
      <c r="E659" s="190"/>
      <c r="F659" s="110"/>
      <c r="G659" s="190"/>
      <c r="H659" s="70"/>
      <c r="I659" s="70"/>
      <c r="J659" s="70"/>
      <c r="K659" s="70"/>
      <c r="L659" s="70"/>
      <c r="M659" s="70"/>
      <c r="Q659" s="83"/>
      <c r="R659" s="108"/>
      <c r="S659" s="83"/>
      <c r="T659" s="83"/>
      <c r="U659" s="83"/>
      <c r="V659" s="83"/>
      <c r="W659" s="83"/>
      <c r="X659" s="83"/>
      <c r="Y659" s="83"/>
      <c r="Z659" s="83"/>
      <c r="AA659" s="83"/>
      <c r="AB659" s="83"/>
      <c r="AC659" s="108"/>
      <c r="AD659" s="83"/>
      <c r="AE659" s="83"/>
      <c r="AF659" s="83"/>
      <c r="AG659" s="83"/>
      <c r="AH659" s="83"/>
      <c r="AI659" s="83"/>
      <c r="AJ659" s="83"/>
      <c r="AK659" s="83"/>
      <c r="AL659" s="83"/>
      <c r="AM659" s="83"/>
      <c r="AN659" s="108"/>
      <c r="AO659" s="83"/>
      <c r="AP659" s="83"/>
      <c r="AQ659" s="83"/>
      <c r="AR659" s="83"/>
      <c r="AS659" s="83"/>
      <c r="AT659" s="83"/>
      <c r="AU659" s="83"/>
      <c r="AV659" s="83"/>
      <c r="AW659" s="83"/>
      <c r="AX659" s="108"/>
      <c r="AY659" s="108"/>
      <c r="AZ659" s="83"/>
      <c r="BA659" s="83"/>
      <c r="BB659" s="83"/>
      <c r="BC659" s="83"/>
      <c r="BD659" s="83"/>
      <c r="BE659" s="83"/>
      <c r="BF659" s="83"/>
      <c r="BG659" s="83"/>
      <c r="BH659" s="83"/>
      <c r="BI659" s="108"/>
      <c r="BJ659" s="108"/>
      <c r="BK659" s="108"/>
      <c r="BL659" s="108"/>
      <c r="BM659" s="108"/>
      <c r="BN659" s="108"/>
      <c r="BO659" s="108"/>
      <c r="BP659" s="108"/>
    </row>
    <row r="660" spans="2:68" s="56" customFormat="1" x14ac:dyDescent="0.25">
      <c r="B660" s="11"/>
      <c r="C660" s="82"/>
      <c r="D660" s="82"/>
      <c r="E660" s="190"/>
      <c r="F660" s="110"/>
      <c r="G660" s="190"/>
      <c r="H660" s="70"/>
      <c r="I660" s="70"/>
      <c r="J660" s="70"/>
      <c r="K660" s="70"/>
      <c r="L660" s="70"/>
      <c r="M660" s="70"/>
      <c r="Q660" s="83"/>
      <c r="R660" s="108"/>
      <c r="S660" s="83"/>
      <c r="T660" s="83"/>
      <c r="U660" s="83"/>
      <c r="V660" s="83"/>
      <c r="W660" s="83"/>
      <c r="X660" s="83"/>
      <c r="Y660" s="83"/>
      <c r="Z660" s="83"/>
      <c r="AA660" s="83"/>
      <c r="AB660" s="83"/>
      <c r="AC660" s="108"/>
      <c r="AD660" s="83"/>
      <c r="AE660" s="83"/>
      <c r="AF660" s="83"/>
      <c r="AG660" s="83"/>
      <c r="AH660" s="83"/>
      <c r="AI660" s="83"/>
      <c r="AJ660" s="83"/>
      <c r="AK660" s="83"/>
      <c r="AL660" s="83"/>
      <c r="AM660" s="83"/>
      <c r="AN660" s="108"/>
      <c r="AO660" s="83"/>
      <c r="AP660" s="83"/>
      <c r="AQ660" s="83"/>
      <c r="AR660" s="83"/>
      <c r="AS660" s="83"/>
      <c r="AT660" s="83"/>
      <c r="AU660" s="83"/>
      <c r="AV660" s="83"/>
      <c r="AW660" s="83"/>
      <c r="AX660" s="108"/>
      <c r="AY660" s="108"/>
      <c r="AZ660" s="83"/>
      <c r="BA660" s="83"/>
      <c r="BB660" s="83"/>
      <c r="BC660" s="83"/>
      <c r="BD660" s="83"/>
      <c r="BE660" s="83"/>
      <c r="BF660" s="83"/>
      <c r="BG660" s="83"/>
      <c r="BH660" s="83"/>
      <c r="BI660" s="108"/>
      <c r="BJ660" s="108"/>
      <c r="BK660" s="108"/>
      <c r="BL660" s="108"/>
      <c r="BM660" s="108"/>
      <c r="BN660" s="108"/>
      <c r="BO660" s="108"/>
      <c r="BP660" s="108"/>
    </row>
    <row r="661" spans="2:68" s="56" customFormat="1" x14ac:dyDescent="0.25">
      <c r="B661" s="11"/>
      <c r="C661" s="82"/>
      <c r="D661" s="82"/>
      <c r="E661" s="190"/>
      <c r="F661" s="110"/>
      <c r="G661" s="190"/>
      <c r="H661" s="70"/>
      <c r="I661" s="70"/>
      <c r="J661" s="70"/>
      <c r="K661" s="70"/>
      <c r="L661" s="70"/>
      <c r="M661" s="70"/>
      <c r="Q661" s="83"/>
      <c r="R661" s="108"/>
      <c r="S661" s="83"/>
      <c r="T661" s="83"/>
      <c r="U661" s="83"/>
      <c r="V661" s="83"/>
      <c r="W661" s="83"/>
      <c r="X661" s="83"/>
      <c r="Y661" s="83"/>
      <c r="Z661" s="83"/>
      <c r="AA661" s="83"/>
      <c r="AB661" s="83"/>
      <c r="AC661" s="108"/>
      <c r="AD661" s="83"/>
      <c r="AE661" s="83"/>
      <c r="AF661" s="83"/>
      <c r="AG661" s="83"/>
      <c r="AH661" s="83"/>
      <c r="AI661" s="83"/>
      <c r="AJ661" s="83"/>
      <c r="AK661" s="83"/>
      <c r="AL661" s="83"/>
      <c r="AM661" s="83"/>
      <c r="AN661" s="108"/>
      <c r="AO661" s="83"/>
      <c r="AP661" s="83"/>
      <c r="AQ661" s="83"/>
      <c r="AR661" s="83"/>
      <c r="AS661" s="83"/>
      <c r="AT661" s="83"/>
      <c r="AU661" s="83"/>
      <c r="AV661" s="83"/>
      <c r="AW661" s="83"/>
      <c r="AX661" s="108"/>
      <c r="AY661" s="108"/>
      <c r="AZ661" s="83"/>
      <c r="BA661" s="83"/>
      <c r="BB661" s="83"/>
      <c r="BC661" s="83"/>
      <c r="BD661" s="83"/>
      <c r="BE661" s="83"/>
      <c r="BF661" s="83"/>
      <c r="BG661" s="83"/>
      <c r="BH661" s="83"/>
      <c r="BI661" s="108"/>
      <c r="BJ661" s="108"/>
      <c r="BK661" s="108"/>
      <c r="BL661" s="108"/>
      <c r="BM661" s="108"/>
      <c r="BN661" s="108"/>
      <c r="BO661" s="108"/>
      <c r="BP661" s="108"/>
    </row>
    <row r="662" spans="2:68" s="56" customFormat="1" x14ac:dyDescent="0.25">
      <c r="B662" s="11"/>
      <c r="C662" s="82"/>
      <c r="D662" s="82"/>
      <c r="E662" s="190"/>
      <c r="F662" s="110"/>
      <c r="G662" s="190"/>
      <c r="H662" s="70"/>
      <c r="I662" s="70"/>
      <c r="J662" s="70"/>
      <c r="K662" s="70"/>
      <c r="L662" s="70"/>
      <c r="M662" s="70"/>
      <c r="Q662" s="83"/>
      <c r="R662" s="108"/>
      <c r="S662" s="83"/>
      <c r="T662" s="83"/>
      <c r="U662" s="83"/>
      <c r="V662" s="83"/>
      <c r="W662" s="83"/>
      <c r="X662" s="83"/>
      <c r="Y662" s="83"/>
      <c r="Z662" s="83"/>
      <c r="AA662" s="83"/>
      <c r="AB662" s="83"/>
      <c r="AC662" s="108"/>
      <c r="AD662" s="83"/>
      <c r="AE662" s="83"/>
      <c r="AF662" s="83"/>
      <c r="AG662" s="83"/>
      <c r="AH662" s="83"/>
      <c r="AI662" s="83"/>
      <c r="AJ662" s="83"/>
      <c r="AK662" s="83"/>
      <c r="AL662" s="83"/>
      <c r="AM662" s="83"/>
      <c r="AN662" s="108"/>
      <c r="AO662" s="83"/>
      <c r="AP662" s="83"/>
      <c r="AQ662" s="83"/>
      <c r="AR662" s="83"/>
      <c r="AS662" s="83"/>
      <c r="AT662" s="83"/>
      <c r="AU662" s="83"/>
      <c r="AV662" s="83"/>
      <c r="AW662" s="83"/>
      <c r="AX662" s="108"/>
      <c r="AY662" s="108"/>
      <c r="AZ662" s="83"/>
      <c r="BA662" s="83"/>
      <c r="BB662" s="83"/>
      <c r="BC662" s="83"/>
      <c r="BD662" s="83"/>
      <c r="BE662" s="83"/>
      <c r="BF662" s="83"/>
      <c r="BG662" s="83"/>
      <c r="BH662" s="83"/>
      <c r="BI662" s="108"/>
      <c r="BJ662" s="108"/>
      <c r="BK662" s="108"/>
      <c r="BL662" s="108"/>
      <c r="BM662" s="108"/>
      <c r="BN662" s="108"/>
      <c r="BO662" s="108"/>
      <c r="BP662" s="108"/>
    </row>
    <row r="663" spans="2:68" s="56" customFormat="1" x14ac:dyDescent="0.25">
      <c r="B663" s="11"/>
      <c r="C663" s="82"/>
      <c r="D663" s="82"/>
      <c r="E663" s="190"/>
      <c r="F663" s="110"/>
      <c r="G663" s="190"/>
      <c r="H663" s="70"/>
      <c r="I663" s="70"/>
      <c r="J663" s="70"/>
      <c r="K663" s="70"/>
      <c r="L663" s="70"/>
      <c r="M663" s="70"/>
      <c r="Q663" s="83"/>
      <c r="R663" s="108"/>
      <c r="S663" s="83"/>
      <c r="T663" s="83"/>
      <c r="U663" s="83"/>
      <c r="V663" s="83"/>
      <c r="W663" s="83"/>
      <c r="X663" s="83"/>
      <c r="Y663" s="83"/>
      <c r="Z663" s="83"/>
      <c r="AA663" s="83"/>
      <c r="AB663" s="83"/>
      <c r="AC663" s="108"/>
      <c r="AD663" s="83"/>
      <c r="AE663" s="83"/>
      <c r="AF663" s="83"/>
      <c r="AG663" s="83"/>
      <c r="AH663" s="83"/>
      <c r="AI663" s="83"/>
      <c r="AJ663" s="83"/>
      <c r="AK663" s="83"/>
      <c r="AL663" s="83"/>
      <c r="AM663" s="83"/>
      <c r="AN663" s="108"/>
      <c r="AO663" s="83"/>
      <c r="AP663" s="83"/>
      <c r="AQ663" s="83"/>
      <c r="AR663" s="83"/>
      <c r="AS663" s="83"/>
      <c r="AT663" s="83"/>
      <c r="AU663" s="83"/>
      <c r="AV663" s="83"/>
      <c r="AW663" s="83"/>
      <c r="AX663" s="108"/>
      <c r="AY663" s="108"/>
      <c r="AZ663" s="83"/>
      <c r="BA663" s="83"/>
      <c r="BB663" s="83"/>
      <c r="BC663" s="83"/>
      <c r="BD663" s="83"/>
      <c r="BE663" s="83"/>
      <c r="BF663" s="83"/>
      <c r="BG663" s="83"/>
      <c r="BH663" s="83"/>
      <c r="BI663" s="108"/>
      <c r="BJ663" s="108"/>
      <c r="BK663" s="108"/>
      <c r="BL663" s="108"/>
      <c r="BM663" s="108"/>
      <c r="BN663" s="108"/>
      <c r="BO663" s="108"/>
      <c r="BP663" s="108"/>
    </row>
    <row r="664" spans="2:68" s="56" customFormat="1" x14ac:dyDescent="0.25">
      <c r="B664" s="11"/>
      <c r="C664" s="82"/>
      <c r="D664" s="82"/>
      <c r="E664" s="190"/>
      <c r="F664" s="110"/>
      <c r="G664" s="190"/>
      <c r="H664" s="70"/>
      <c r="I664" s="70"/>
      <c r="J664" s="70"/>
      <c r="K664" s="70"/>
      <c r="L664" s="70"/>
      <c r="M664" s="70"/>
      <c r="Q664" s="83"/>
      <c r="R664" s="108"/>
      <c r="S664" s="83"/>
      <c r="T664" s="83"/>
      <c r="U664" s="83"/>
      <c r="V664" s="83"/>
      <c r="W664" s="83"/>
      <c r="X664" s="83"/>
      <c r="Y664" s="83"/>
      <c r="Z664" s="83"/>
      <c r="AA664" s="83"/>
      <c r="AB664" s="83"/>
      <c r="AC664" s="108"/>
      <c r="AD664" s="83"/>
      <c r="AE664" s="83"/>
      <c r="AF664" s="83"/>
      <c r="AG664" s="83"/>
      <c r="AH664" s="83"/>
      <c r="AI664" s="83"/>
      <c r="AJ664" s="83"/>
      <c r="AK664" s="83"/>
      <c r="AL664" s="83"/>
      <c r="AM664" s="83"/>
      <c r="AN664" s="108"/>
      <c r="AO664" s="83"/>
      <c r="AP664" s="83"/>
      <c r="AQ664" s="83"/>
      <c r="AR664" s="83"/>
      <c r="AS664" s="83"/>
      <c r="AT664" s="83"/>
      <c r="AU664" s="83"/>
      <c r="AV664" s="83"/>
      <c r="AW664" s="83"/>
      <c r="AX664" s="108"/>
      <c r="AY664" s="108"/>
      <c r="AZ664" s="83"/>
      <c r="BA664" s="83"/>
      <c r="BB664" s="83"/>
      <c r="BC664" s="83"/>
      <c r="BD664" s="83"/>
      <c r="BE664" s="83"/>
      <c r="BF664" s="83"/>
      <c r="BG664" s="83"/>
      <c r="BH664" s="83"/>
      <c r="BI664" s="108"/>
      <c r="BJ664" s="108"/>
      <c r="BK664" s="108"/>
      <c r="BL664" s="108"/>
      <c r="BM664" s="108"/>
      <c r="BN664" s="108"/>
      <c r="BO664" s="108"/>
      <c r="BP664" s="108"/>
    </row>
    <row r="665" spans="2:68" s="56" customFormat="1" x14ac:dyDescent="0.25">
      <c r="B665" s="11"/>
      <c r="C665" s="82"/>
      <c r="D665" s="82"/>
      <c r="E665" s="190"/>
      <c r="F665" s="110"/>
      <c r="G665" s="190"/>
      <c r="H665" s="70"/>
      <c r="I665" s="70"/>
      <c r="J665" s="70"/>
      <c r="K665" s="70"/>
      <c r="L665" s="70"/>
      <c r="M665" s="70"/>
      <c r="Q665" s="83"/>
      <c r="R665" s="108"/>
      <c r="S665" s="83"/>
      <c r="T665" s="83"/>
      <c r="U665" s="83"/>
      <c r="V665" s="83"/>
      <c r="W665" s="83"/>
      <c r="X665" s="83"/>
      <c r="Y665" s="83"/>
      <c r="Z665" s="83"/>
      <c r="AA665" s="83"/>
      <c r="AB665" s="83"/>
      <c r="AC665" s="108"/>
      <c r="AD665" s="83"/>
      <c r="AE665" s="83"/>
      <c r="AF665" s="83"/>
      <c r="AG665" s="83"/>
      <c r="AH665" s="83"/>
      <c r="AI665" s="83"/>
      <c r="AJ665" s="83"/>
      <c r="AK665" s="83"/>
      <c r="AL665" s="83"/>
      <c r="AM665" s="83"/>
      <c r="AN665" s="108"/>
      <c r="AO665" s="83"/>
      <c r="AP665" s="83"/>
      <c r="AQ665" s="83"/>
      <c r="AR665" s="83"/>
      <c r="AS665" s="83"/>
      <c r="AT665" s="83"/>
      <c r="AU665" s="83"/>
      <c r="AV665" s="83"/>
      <c r="AW665" s="83"/>
      <c r="AX665" s="108"/>
      <c r="AY665" s="108"/>
      <c r="AZ665" s="83"/>
      <c r="BA665" s="83"/>
      <c r="BB665" s="83"/>
      <c r="BC665" s="83"/>
      <c r="BD665" s="83"/>
      <c r="BE665" s="83"/>
      <c r="BF665" s="83"/>
      <c r="BG665" s="83"/>
      <c r="BH665" s="83"/>
      <c r="BI665" s="108"/>
      <c r="BJ665" s="108"/>
      <c r="BK665" s="108"/>
      <c r="BL665" s="108"/>
      <c r="BM665" s="108"/>
      <c r="BN665" s="108"/>
      <c r="BO665" s="108"/>
      <c r="BP665" s="108"/>
    </row>
    <row r="666" spans="2:68" s="56" customFormat="1" x14ac:dyDescent="0.25">
      <c r="B666" s="11"/>
      <c r="C666" s="82"/>
      <c r="D666" s="82"/>
      <c r="E666" s="190"/>
      <c r="F666" s="110"/>
      <c r="G666" s="190"/>
      <c r="H666" s="70"/>
      <c r="I666" s="70"/>
      <c r="J666" s="70"/>
      <c r="K666" s="70"/>
      <c r="L666" s="70"/>
      <c r="M666" s="70"/>
      <c r="Q666" s="83"/>
      <c r="R666" s="108"/>
      <c r="S666" s="83"/>
      <c r="T666" s="83"/>
      <c r="U666" s="83"/>
      <c r="V666" s="83"/>
      <c r="W666" s="83"/>
      <c r="X666" s="83"/>
      <c r="Y666" s="83"/>
      <c r="Z666" s="83"/>
      <c r="AA666" s="83"/>
      <c r="AB666" s="83"/>
      <c r="AC666" s="108"/>
      <c r="AD666" s="83"/>
      <c r="AE666" s="83"/>
      <c r="AF666" s="83"/>
      <c r="AG666" s="83"/>
      <c r="AH666" s="83"/>
      <c r="AI666" s="83"/>
      <c r="AJ666" s="83"/>
      <c r="AK666" s="83"/>
      <c r="AL666" s="83"/>
      <c r="AM666" s="83"/>
      <c r="AN666" s="108"/>
      <c r="AO666" s="83"/>
      <c r="AP666" s="83"/>
      <c r="AQ666" s="83"/>
      <c r="AR666" s="83"/>
      <c r="AS666" s="83"/>
      <c r="AT666" s="83"/>
      <c r="AU666" s="83"/>
      <c r="AV666" s="83"/>
      <c r="AW666" s="83"/>
      <c r="AX666" s="108"/>
      <c r="AY666" s="108"/>
      <c r="AZ666" s="83"/>
      <c r="BA666" s="83"/>
      <c r="BB666" s="83"/>
      <c r="BC666" s="83"/>
      <c r="BD666" s="83"/>
      <c r="BE666" s="83"/>
      <c r="BF666" s="83"/>
      <c r="BG666" s="83"/>
      <c r="BH666" s="83"/>
      <c r="BI666" s="108"/>
      <c r="BJ666" s="108"/>
      <c r="BK666" s="108"/>
      <c r="BL666" s="108"/>
      <c r="BM666" s="108"/>
      <c r="BN666" s="108"/>
      <c r="BO666" s="108"/>
      <c r="BP666" s="108"/>
    </row>
    <row r="667" spans="2:68" s="56" customFormat="1" x14ac:dyDescent="0.25">
      <c r="B667" s="11"/>
      <c r="C667" s="82"/>
      <c r="D667" s="82"/>
      <c r="E667" s="190"/>
      <c r="F667" s="110"/>
      <c r="G667" s="190"/>
      <c r="H667" s="70"/>
      <c r="I667" s="70"/>
      <c r="J667" s="70"/>
      <c r="K667" s="70"/>
      <c r="L667" s="70"/>
      <c r="M667" s="70"/>
      <c r="Q667" s="83"/>
      <c r="R667" s="108"/>
      <c r="S667" s="83"/>
      <c r="T667" s="83"/>
      <c r="U667" s="83"/>
      <c r="V667" s="83"/>
      <c r="W667" s="83"/>
      <c r="X667" s="83"/>
      <c r="Y667" s="83"/>
      <c r="Z667" s="83"/>
      <c r="AA667" s="83"/>
      <c r="AB667" s="83"/>
      <c r="AC667" s="108"/>
      <c r="AD667" s="83"/>
      <c r="AE667" s="83"/>
      <c r="AF667" s="83"/>
      <c r="AG667" s="83"/>
      <c r="AH667" s="83"/>
      <c r="AI667" s="83"/>
      <c r="AJ667" s="83"/>
      <c r="AK667" s="83"/>
      <c r="AL667" s="83"/>
      <c r="AM667" s="83"/>
      <c r="AN667" s="108"/>
      <c r="AO667" s="83"/>
      <c r="AP667" s="83"/>
      <c r="AQ667" s="83"/>
      <c r="AR667" s="83"/>
      <c r="AS667" s="83"/>
      <c r="AT667" s="83"/>
      <c r="AU667" s="83"/>
      <c r="AV667" s="83"/>
      <c r="AW667" s="83"/>
      <c r="AX667" s="108"/>
      <c r="AY667" s="108"/>
      <c r="AZ667" s="83"/>
      <c r="BA667" s="83"/>
      <c r="BB667" s="83"/>
      <c r="BC667" s="83"/>
      <c r="BD667" s="83"/>
      <c r="BE667" s="83"/>
      <c r="BF667" s="83"/>
      <c r="BG667" s="83"/>
      <c r="BH667" s="83"/>
      <c r="BI667" s="108"/>
      <c r="BJ667" s="108"/>
      <c r="BK667" s="108"/>
      <c r="BL667" s="108"/>
      <c r="BM667" s="108"/>
      <c r="BN667" s="108"/>
      <c r="BO667" s="108"/>
      <c r="BP667" s="108"/>
    </row>
    <row r="668" spans="2:68" s="56" customFormat="1" x14ac:dyDescent="0.25">
      <c r="B668" s="11"/>
      <c r="C668" s="82"/>
      <c r="D668" s="82"/>
      <c r="E668" s="190"/>
      <c r="F668" s="110"/>
      <c r="G668" s="190"/>
      <c r="H668" s="70"/>
      <c r="I668" s="70"/>
      <c r="J668" s="70"/>
      <c r="K668" s="70"/>
      <c r="L668" s="70"/>
      <c r="M668" s="70"/>
      <c r="Q668" s="83"/>
      <c r="R668" s="108"/>
      <c r="S668" s="83"/>
      <c r="T668" s="83"/>
      <c r="U668" s="83"/>
      <c r="V668" s="83"/>
      <c r="W668" s="83"/>
      <c r="X668" s="83"/>
      <c r="Y668" s="83"/>
      <c r="Z668" s="83"/>
      <c r="AA668" s="83"/>
      <c r="AB668" s="83"/>
      <c r="AC668" s="108"/>
      <c r="AD668" s="83"/>
      <c r="AE668" s="83"/>
      <c r="AF668" s="83"/>
      <c r="AG668" s="83"/>
      <c r="AH668" s="83"/>
      <c r="AI668" s="83"/>
      <c r="AJ668" s="83"/>
      <c r="AK668" s="83"/>
      <c r="AL668" s="83"/>
      <c r="AM668" s="83"/>
      <c r="AN668" s="108"/>
      <c r="AO668" s="83"/>
      <c r="AP668" s="83"/>
      <c r="AQ668" s="83"/>
      <c r="AR668" s="83"/>
      <c r="AS668" s="83"/>
      <c r="AT668" s="83"/>
      <c r="AU668" s="83"/>
      <c r="AV668" s="83"/>
      <c r="AW668" s="83"/>
      <c r="AX668" s="108"/>
      <c r="AY668" s="108"/>
      <c r="AZ668" s="83"/>
      <c r="BA668" s="83"/>
      <c r="BB668" s="83"/>
      <c r="BC668" s="83"/>
      <c r="BD668" s="83"/>
      <c r="BE668" s="83"/>
      <c r="BF668" s="83"/>
      <c r="BG668" s="83"/>
      <c r="BH668" s="83"/>
      <c r="BI668" s="108"/>
      <c r="BJ668" s="108"/>
      <c r="BK668" s="108"/>
      <c r="BL668" s="108"/>
      <c r="BM668" s="108"/>
      <c r="BN668" s="108"/>
      <c r="BO668" s="108"/>
      <c r="BP668" s="108"/>
    </row>
    <row r="669" spans="2:68" s="56" customFormat="1" x14ac:dyDescent="0.25">
      <c r="B669" s="11"/>
      <c r="C669" s="82"/>
      <c r="D669" s="82"/>
      <c r="E669" s="190"/>
      <c r="F669" s="110"/>
      <c r="G669" s="190"/>
      <c r="H669" s="70"/>
      <c r="I669" s="70"/>
      <c r="J669" s="70"/>
      <c r="K669" s="70"/>
      <c r="L669" s="70"/>
      <c r="M669" s="70"/>
      <c r="Q669" s="83"/>
      <c r="R669" s="108"/>
      <c r="S669" s="83"/>
      <c r="T669" s="83"/>
      <c r="U669" s="83"/>
      <c r="V669" s="83"/>
      <c r="W669" s="83"/>
      <c r="X669" s="83"/>
      <c r="Y669" s="83"/>
      <c r="Z669" s="83"/>
      <c r="AA669" s="83"/>
      <c r="AB669" s="83"/>
      <c r="AC669" s="108"/>
      <c r="AD669" s="83"/>
      <c r="AE669" s="83"/>
      <c r="AF669" s="83"/>
      <c r="AG669" s="83"/>
      <c r="AH669" s="83"/>
      <c r="AI669" s="83"/>
      <c r="AJ669" s="83"/>
      <c r="AK669" s="83"/>
      <c r="AL669" s="83"/>
      <c r="AM669" s="83"/>
      <c r="AN669" s="108"/>
      <c r="AO669" s="83"/>
      <c r="AP669" s="83"/>
      <c r="AQ669" s="83"/>
      <c r="AR669" s="83"/>
      <c r="AS669" s="83"/>
      <c r="AT669" s="83"/>
      <c r="AU669" s="83"/>
      <c r="AV669" s="83"/>
      <c r="AW669" s="83"/>
      <c r="AX669" s="108"/>
      <c r="AY669" s="108"/>
      <c r="AZ669" s="83"/>
      <c r="BA669" s="83"/>
      <c r="BB669" s="83"/>
      <c r="BC669" s="83"/>
      <c r="BD669" s="83"/>
      <c r="BE669" s="83"/>
      <c r="BF669" s="83"/>
      <c r="BG669" s="83"/>
      <c r="BH669" s="83"/>
      <c r="BI669" s="108"/>
      <c r="BJ669" s="108"/>
      <c r="BK669" s="108"/>
      <c r="BL669" s="108"/>
      <c r="BM669" s="108"/>
      <c r="BN669" s="108"/>
      <c r="BO669" s="108"/>
      <c r="BP669" s="108"/>
    </row>
    <row r="670" spans="2:68" s="56" customFormat="1" x14ac:dyDescent="0.25">
      <c r="B670" s="11"/>
      <c r="C670" s="82"/>
      <c r="D670" s="82"/>
      <c r="E670" s="190"/>
      <c r="F670" s="110"/>
      <c r="G670" s="190"/>
      <c r="H670" s="70"/>
      <c r="I670" s="70"/>
      <c r="J670" s="70"/>
      <c r="K670" s="70"/>
      <c r="L670" s="70"/>
      <c r="M670" s="70"/>
      <c r="Q670" s="83"/>
      <c r="R670" s="108"/>
      <c r="S670" s="83"/>
      <c r="T670" s="83"/>
      <c r="U670" s="83"/>
      <c r="V670" s="83"/>
      <c r="W670" s="83"/>
      <c r="X670" s="83"/>
      <c r="Y670" s="83"/>
      <c r="Z670" s="83"/>
      <c r="AA670" s="83"/>
      <c r="AB670" s="83"/>
      <c r="AC670" s="108"/>
      <c r="AD670" s="83"/>
      <c r="AE670" s="83"/>
      <c r="AF670" s="83"/>
      <c r="AG670" s="83"/>
      <c r="AH670" s="83"/>
      <c r="AI670" s="83"/>
      <c r="AJ670" s="83"/>
      <c r="AK670" s="83"/>
      <c r="AL670" s="83"/>
      <c r="AM670" s="83"/>
      <c r="AN670" s="108"/>
      <c r="AO670" s="83"/>
      <c r="AP670" s="83"/>
      <c r="AQ670" s="83"/>
      <c r="AR670" s="83"/>
      <c r="AS670" s="83"/>
      <c r="AT670" s="83"/>
      <c r="AU670" s="83"/>
      <c r="AV670" s="83"/>
      <c r="AW670" s="83"/>
      <c r="AX670" s="108"/>
      <c r="AY670" s="108"/>
      <c r="AZ670" s="83"/>
      <c r="BA670" s="83"/>
      <c r="BB670" s="83"/>
      <c r="BC670" s="83"/>
      <c r="BD670" s="83"/>
      <c r="BE670" s="83"/>
      <c r="BF670" s="83"/>
      <c r="BG670" s="83"/>
      <c r="BH670" s="83"/>
      <c r="BI670" s="108"/>
      <c r="BJ670" s="108"/>
      <c r="BK670" s="108"/>
      <c r="BL670" s="108"/>
      <c r="BM670" s="108"/>
      <c r="BN670" s="108"/>
      <c r="BO670" s="108"/>
      <c r="BP670" s="108"/>
    </row>
  </sheetData>
  <autoFilter ref="C115:BI639" xr:uid="{51D9B7A4-10FE-4B93-99B5-869A925749E9}"/>
  <conditionalFormatting sqref="AC41:AC46">
    <cfRule type="containsText" dxfId="77" priority="30" operator="containsText" text="f">
      <formula>NOT(ISERROR(SEARCH("f",AC41)))</formula>
    </cfRule>
    <cfRule type="containsText" dxfId="76" priority="31" operator="containsText" text="e">
      <formula>NOT(ISERROR(SEARCH("e",AC41)))</formula>
    </cfRule>
  </conditionalFormatting>
  <conditionalFormatting sqref="G38">
    <cfRule type="containsText" dxfId="75" priority="26" operator="containsText" text="f">
      <formula>NOT(ISERROR(SEARCH("f",G38)))</formula>
    </cfRule>
    <cfRule type="containsText" dxfId="74" priority="27" operator="containsText" text="e">
      <formula>NOT(ISERROR(SEARCH("e",G38)))</formula>
    </cfRule>
  </conditionalFormatting>
  <conditionalFormatting sqref="S40:AA51">
    <cfRule type="containsText" dxfId="73" priority="9" operator="containsText" text="f">
      <formula>NOT(ISERROR(SEARCH("f",S40)))</formula>
    </cfRule>
    <cfRule type="containsText" dxfId="72" priority="10" operator="containsText" text="e">
      <formula>NOT(ISERROR(SEARCH("e",S40)))</formula>
    </cfRule>
  </conditionalFormatting>
  <conditionalFormatting sqref="AB43">
    <cfRule type="cellIs" dxfId="71" priority="8" operator="greaterThan">
      <formula>0</formula>
    </cfRule>
  </conditionalFormatting>
  <conditionalFormatting sqref="AB44">
    <cfRule type="cellIs" dxfId="70" priority="7" operator="greaterThan">
      <formula>0</formula>
    </cfRule>
  </conditionalFormatting>
  <conditionalFormatting sqref="O102:O103">
    <cfRule type="containsText" dxfId="69" priority="4" operator="containsText" text="no">
      <formula>NOT(ISERROR(SEARCH("no",O102)))</formula>
    </cfRule>
  </conditionalFormatting>
  <conditionalFormatting sqref="AB102:AB103">
    <cfRule type="containsText" dxfId="68" priority="3" operator="containsText" text="no">
      <formula>NOT(ISERROR(SEARCH("no",AB102)))</formula>
    </cfRule>
  </conditionalFormatting>
  <conditionalFormatting sqref="O96:O106">
    <cfRule type="containsText" dxfId="67" priority="2" operator="containsText" text="no">
      <formula>NOT(ISERROR(SEARCH("no",O96)))</formula>
    </cfRule>
  </conditionalFormatting>
  <conditionalFormatting sqref="AB97:AB98">
    <cfRule type="containsText" dxfId="66" priority="1" operator="containsText" text="no">
      <formula>NOT(ISERROR(SEARCH("no",AB97)))</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61" r:id="rId4" name="Drop Down 1">
              <controlPr defaultSize="0" autoLine="0" autoPict="0">
                <anchor moveWithCells="1">
                  <from>
                    <xdr:col>5</xdr:col>
                    <xdr:colOff>251460</xdr:colOff>
                    <xdr:row>4</xdr:row>
                    <xdr:rowOff>7620</xdr:rowOff>
                  </from>
                  <to>
                    <xdr:col>6</xdr:col>
                    <xdr:colOff>708660</xdr:colOff>
                    <xdr:row>5</xdr:row>
                    <xdr:rowOff>76200</xdr:rowOff>
                  </to>
                </anchor>
              </controlPr>
            </control>
          </mc:Choice>
        </mc:AlternateContent>
        <mc:AlternateContent xmlns:mc="http://schemas.openxmlformats.org/markup-compatibility/2006">
          <mc:Choice Requires="x14">
            <control shapeId="40963" r:id="rId5" name="Drop Down 3">
              <controlPr defaultSize="0" autoLine="0" autoPict="0">
                <anchor moveWithCells="1">
                  <from>
                    <xdr:col>5</xdr:col>
                    <xdr:colOff>251460</xdr:colOff>
                    <xdr:row>7</xdr:row>
                    <xdr:rowOff>182880</xdr:rowOff>
                  </from>
                  <to>
                    <xdr:col>6</xdr:col>
                    <xdr:colOff>708660</xdr:colOff>
                    <xdr:row>9</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B1:AY284"/>
  <sheetViews>
    <sheetView showZeros="0" zoomScale="70" zoomScaleNormal="70" workbookViewId="0">
      <selection activeCell="C46" sqref="C46"/>
    </sheetView>
  </sheetViews>
  <sheetFormatPr defaultColWidth="9.109375" defaultRowHeight="14.4" x14ac:dyDescent="0.3"/>
  <cols>
    <col min="1" max="1" width="9.109375" style="5" customWidth="1"/>
    <col min="2" max="2" width="9.109375" style="6" hidden="1" customWidth="1"/>
    <col min="3" max="3" width="5.109375" style="9" customWidth="1"/>
    <col min="4" max="4" width="9.109375" style="5"/>
    <col min="5" max="5" width="9.109375" style="8"/>
    <col min="6" max="6" width="10.88671875" style="5" bestFit="1" customWidth="1"/>
    <col min="7" max="19" width="9.109375" style="5"/>
    <col min="20" max="20" width="12.33203125" style="5" customWidth="1"/>
    <col min="21" max="16384" width="9.109375" style="5"/>
  </cols>
  <sheetData>
    <row r="1" spans="2:28" ht="15" thickBot="1" x14ac:dyDescent="0.35">
      <c r="E1" s="12"/>
    </row>
    <row r="2" spans="2:28" x14ac:dyDescent="0.3">
      <c r="E2" s="20"/>
      <c r="F2" s="13"/>
      <c r="G2" s="13"/>
      <c r="H2" s="13"/>
      <c r="I2" s="13"/>
      <c r="J2" s="13"/>
      <c r="K2" s="13"/>
      <c r="L2" s="13"/>
      <c r="M2" s="13"/>
      <c r="N2" s="13"/>
      <c r="O2" s="13"/>
      <c r="P2" s="13"/>
      <c r="Q2" s="13"/>
      <c r="R2" s="13"/>
      <c r="S2" s="13"/>
      <c r="T2" s="13"/>
      <c r="U2" s="13"/>
      <c r="V2" s="13"/>
      <c r="W2" s="13"/>
      <c r="X2" s="13"/>
      <c r="Y2" s="13"/>
      <c r="Z2" s="13"/>
      <c r="AA2" s="13"/>
      <c r="AB2" s="14"/>
    </row>
    <row r="3" spans="2:28" x14ac:dyDescent="0.3">
      <c r="E3" s="77"/>
      <c r="F3" s="78"/>
      <c r="G3" s="15"/>
      <c r="H3" s="78"/>
      <c r="I3" s="15"/>
      <c r="J3" s="15"/>
      <c r="K3" s="15"/>
      <c r="L3" s="15"/>
      <c r="M3" s="15"/>
      <c r="N3" s="15"/>
      <c r="O3" s="15"/>
      <c r="P3" s="15"/>
      <c r="Q3" s="15"/>
      <c r="R3" s="15"/>
      <c r="S3" s="15"/>
      <c r="T3" s="15"/>
      <c r="U3" s="15"/>
      <c r="V3" s="15"/>
      <c r="W3" s="15"/>
      <c r="X3" s="15"/>
      <c r="Y3" s="15"/>
      <c r="Z3" s="15"/>
      <c r="AA3" s="15"/>
      <c r="AB3" s="16"/>
    </row>
    <row r="4" spans="2:28" ht="31.2" x14ac:dyDescent="0.3">
      <c r="B4" s="12" t="s">
        <v>103</v>
      </c>
      <c r="E4" s="21"/>
      <c r="F4" s="15"/>
      <c r="G4" s="15"/>
      <c r="H4" s="15"/>
      <c r="I4" s="15"/>
      <c r="J4" s="15"/>
      <c r="K4" s="15"/>
      <c r="L4" s="15"/>
      <c r="M4" s="73" t="s">
        <v>170</v>
      </c>
      <c r="N4" s="15"/>
      <c r="O4" s="15"/>
      <c r="P4" s="15"/>
      <c r="Q4" s="15"/>
      <c r="R4" s="15"/>
      <c r="S4" s="15"/>
      <c r="T4" s="15"/>
      <c r="U4" s="15"/>
      <c r="V4" s="15"/>
      <c r="W4" s="15"/>
      <c r="X4" s="15"/>
      <c r="Y4" s="15"/>
      <c r="Z4" s="15"/>
      <c r="AA4" s="15"/>
      <c r="AB4" s="16"/>
    </row>
    <row r="5" spans="2:28" ht="15.6" x14ac:dyDescent="0.3">
      <c r="B5" s="12" t="s">
        <v>104</v>
      </c>
      <c r="E5" s="21"/>
      <c r="F5" s="15"/>
      <c r="G5" s="15"/>
      <c r="H5" s="15"/>
      <c r="I5" s="15"/>
      <c r="J5" s="15"/>
      <c r="K5" s="15"/>
      <c r="L5" s="15"/>
      <c r="M5" s="79" t="s">
        <v>42</v>
      </c>
      <c r="N5" s="15"/>
      <c r="O5" s="15"/>
      <c r="P5" s="15"/>
      <c r="Q5" s="15"/>
      <c r="R5" s="15"/>
      <c r="S5" s="15"/>
      <c r="T5" s="15"/>
      <c r="U5" s="15"/>
      <c r="V5" s="15"/>
      <c r="W5" s="15"/>
      <c r="X5" s="15"/>
      <c r="Y5" s="15"/>
      <c r="Z5" s="15"/>
      <c r="AA5" s="15"/>
      <c r="AB5" s="16"/>
    </row>
    <row r="6" spans="2:28" ht="15.6" x14ac:dyDescent="0.3">
      <c r="B6" s="12" t="s">
        <v>105</v>
      </c>
      <c r="E6" s="21"/>
      <c r="F6" s="15"/>
      <c r="G6" s="15"/>
      <c r="H6" s="15"/>
      <c r="I6" s="15"/>
      <c r="J6" s="15"/>
      <c r="K6" s="15"/>
      <c r="L6" s="15"/>
      <c r="M6" s="79" t="s">
        <v>99</v>
      </c>
      <c r="N6" s="15"/>
      <c r="O6" s="15"/>
      <c r="P6" s="15"/>
      <c r="Q6" s="15"/>
      <c r="R6" s="15"/>
      <c r="S6" s="15"/>
      <c r="T6" s="15"/>
      <c r="U6" s="15"/>
      <c r="V6" s="15"/>
      <c r="W6" s="15"/>
      <c r="X6" s="15"/>
      <c r="Y6" s="15"/>
      <c r="Z6" s="15"/>
      <c r="AA6" s="15"/>
      <c r="AB6" s="16"/>
    </row>
    <row r="7" spans="2:28" ht="15.6" x14ac:dyDescent="0.3">
      <c r="B7" s="12" t="s">
        <v>106</v>
      </c>
      <c r="E7" s="21"/>
      <c r="F7" s="15"/>
      <c r="G7" s="15"/>
      <c r="H7" s="15"/>
      <c r="I7" s="15"/>
      <c r="J7" s="15"/>
      <c r="K7" s="15"/>
      <c r="L7" s="15"/>
      <c r="M7" s="79"/>
      <c r="N7" s="15"/>
      <c r="O7" s="15"/>
      <c r="P7" s="15"/>
      <c r="Q7" s="15"/>
      <c r="R7" s="15"/>
      <c r="S7" s="15"/>
      <c r="T7" s="15"/>
      <c r="U7" s="15"/>
      <c r="V7" s="15"/>
      <c r="W7" s="15"/>
      <c r="X7" s="15"/>
      <c r="Y7" s="15"/>
      <c r="Z7" s="15"/>
      <c r="AA7" s="15"/>
      <c r="AB7" s="16"/>
    </row>
    <row r="8" spans="2:28" ht="15.6" x14ac:dyDescent="0.3">
      <c r="B8" s="12" t="s">
        <v>56</v>
      </c>
      <c r="E8" s="21"/>
      <c r="F8" s="15"/>
      <c r="G8" s="15"/>
      <c r="H8" s="15"/>
      <c r="I8" s="15"/>
      <c r="J8" s="15"/>
      <c r="K8" s="15"/>
      <c r="L8" s="15"/>
      <c r="M8" s="79"/>
      <c r="N8" s="15"/>
      <c r="O8" s="15"/>
      <c r="P8" s="15"/>
      <c r="Q8" s="15"/>
      <c r="R8" s="15"/>
      <c r="S8" s="15"/>
      <c r="T8" s="15"/>
      <c r="U8" s="15"/>
      <c r="V8" s="15"/>
      <c r="W8" s="15"/>
      <c r="X8" s="15"/>
      <c r="Y8" s="15"/>
      <c r="Z8" s="15"/>
      <c r="AA8" s="15"/>
      <c r="AB8" s="16"/>
    </row>
    <row r="9" spans="2:28" x14ac:dyDescent="0.3">
      <c r="B9" s="12" t="s">
        <v>107</v>
      </c>
      <c r="E9" s="21"/>
      <c r="F9" s="15"/>
      <c r="G9" s="15"/>
      <c r="H9" s="15"/>
      <c r="I9" s="15"/>
      <c r="J9" s="15"/>
      <c r="K9" s="15"/>
      <c r="L9" s="15"/>
      <c r="M9" s="15"/>
      <c r="N9" s="15"/>
      <c r="O9" s="15"/>
      <c r="P9" s="15"/>
      <c r="Q9" s="15"/>
      <c r="R9" s="15"/>
      <c r="S9" s="15"/>
      <c r="T9" s="15"/>
      <c r="U9" s="15"/>
      <c r="V9" s="15"/>
      <c r="W9" s="15"/>
      <c r="X9" s="15"/>
      <c r="Y9" s="15"/>
      <c r="Z9" s="15"/>
      <c r="AA9" s="15"/>
      <c r="AB9" s="16"/>
    </row>
    <row r="10" spans="2:28" x14ac:dyDescent="0.3">
      <c r="B10" s="12" t="s">
        <v>108</v>
      </c>
      <c r="E10" s="21"/>
      <c r="F10" s="15"/>
      <c r="G10" s="15"/>
      <c r="H10" s="15"/>
      <c r="I10" s="15"/>
      <c r="J10" s="15"/>
      <c r="K10" s="217"/>
      <c r="L10" s="15"/>
      <c r="M10" s="15"/>
      <c r="N10" s="15"/>
      <c r="O10" s="15"/>
      <c r="P10" s="15"/>
      <c r="Q10" s="15"/>
      <c r="R10" s="15"/>
      <c r="S10" s="15"/>
      <c r="T10" s="15"/>
      <c r="U10" s="15"/>
      <c r="V10" s="15"/>
      <c r="W10" s="15"/>
      <c r="X10" s="15"/>
      <c r="Y10" s="15"/>
      <c r="Z10" s="15"/>
      <c r="AA10" s="15"/>
      <c r="AB10" s="16"/>
    </row>
    <row r="11" spans="2:28" x14ac:dyDescent="0.3">
      <c r="B11" s="12" t="s">
        <v>109</v>
      </c>
      <c r="E11" s="21"/>
      <c r="F11" s="15"/>
      <c r="G11" s="15"/>
      <c r="H11" s="15"/>
      <c r="I11" s="15"/>
      <c r="J11" s="15"/>
      <c r="K11" s="15"/>
      <c r="L11" s="15"/>
      <c r="M11" s="15"/>
      <c r="N11" s="15"/>
      <c r="O11" s="15"/>
      <c r="P11" s="15"/>
      <c r="Q11" s="15"/>
      <c r="R11" s="15"/>
      <c r="S11" s="15"/>
      <c r="T11" s="15"/>
      <c r="U11" s="15"/>
      <c r="V11" s="15"/>
      <c r="W11" s="15"/>
      <c r="X11" s="15"/>
      <c r="Y11" s="15"/>
      <c r="Z11" s="15"/>
      <c r="AA11" s="15"/>
      <c r="AB11" s="16"/>
    </row>
    <row r="12" spans="2:28" x14ac:dyDescent="0.3">
      <c r="B12" s="89">
        <v>2</v>
      </c>
      <c r="E12" s="21"/>
      <c r="F12" s="15"/>
      <c r="G12" s="15"/>
      <c r="H12" s="15"/>
      <c r="I12" s="15"/>
      <c r="J12" s="15"/>
      <c r="K12" s="15"/>
      <c r="L12" s="15"/>
      <c r="M12" s="15"/>
      <c r="N12" s="15"/>
      <c r="O12" s="15"/>
      <c r="P12" s="15"/>
      <c r="Q12" s="15"/>
      <c r="R12" s="15"/>
      <c r="S12" s="15"/>
      <c r="T12" s="15"/>
      <c r="U12" s="15"/>
      <c r="V12" s="15"/>
      <c r="W12" s="15"/>
      <c r="X12" s="15"/>
      <c r="Y12" s="15"/>
      <c r="Z12" s="15"/>
      <c r="AA12" s="15"/>
      <c r="AB12" s="16"/>
    </row>
    <row r="13" spans="2:28" x14ac:dyDescent="0.3">
      <c r="B13" s="12"/>
      <c r="E13" s="21"/>
      <c r="F13" s="15"/>
      <c r="G13" s="15"/>
      <c r="H13" s="15"/>
      <c r="I13" s="15"/>
      <c r="J13" s="15"/>
      <c r="K13" s="15"/>
      <c r="L13" s="15"/>
      <c r="M13" s="15"/>
      <c r="N13" s="15"/>
      <c r="O13" s="15"/>
      <c r="P13" s="15"/>
      <c r="Q13" s="15"/>
      <c r="R13" s="15"/>
      <c r="S13" s="15"/>
      <c r="T13" s="15"/>
      <c r="U13" s="15"/>
      <c r="V13" s="15"/>
      <c r="W13" s="15"/>
      <c r="X13" s="15"/>
      <c r="Y13" s="15"/>
      <c r="Z13" s="15"/>
      <c r="AA13" s="15"/>
      <c r="AB13" s="16"/>
    </row>
    <row r="14" spans="2:28" x14ac:dyDescent="0.3">
      <c r="B14" s="12"/>
      <c r="E14" s="21"/>
      <c r="F14" s="15"/>
      <c r="G14" s="15"/>
      <c r="H14" s="15"/>
      <c r="I14" s="15"/>
      <c r="J14" s="15"/>
      <c r="K14" s="15"/>
      <c r="L14" s="15"/>
      <c r="M14" s="15"/>
      <c r="N14" s="15"/>
      <c r="O14" s="15"/>
      <c r="P14" s="15"/>
      <c r="Q14" s="15"/>
      <c r="R14" s="15"/>
      <c r="S14" s="15"/>
      <c r="T14" s="15"/>
      <c r="U14" s="15"/>
      <c r="V14" s="15"/>
      <c r="W14" s="15"/>
      <c r="X14" s="15"/>
      <c r="Y14" s="15"/>
      <c r="Z14" s="15"/>
      <c r="AA14" s="15"/>
      <c r="AB14" s="16"/>
    </row>
    <row r="15" spans="2:28" x14ac:dyDescent="0.3">
      <c r="E15" s="21"/>
      <c r="F15" s="15"/>
      <c r="G15" s="15"/>
      <c r="H15" s="15"/>
      <c r="I15" s="15"/>
      <c r="J15" s="15"/>
      <c r="K15" s="15"/>
      <c r="L15" s="15"/>
      <c r="M15" s="15"/>
      <c r="N15" s="15"/>
      <c r="O15" s="15"/>
      <c r="P15" s="15"/>
      <c r="Q15" s="15"/>
      <c r="R15" s="15"/>
      <c r="S15" s="15"/>
      <c r="T15" s="15"/>
      <c r="U15" s="15"/>
      <c r="V15" s="15"/>
      <c r="W15" s="15"/>
      <c r="X15" s="15"/>
      <c r="Y15" s="15"/>
      <c r="Z15" s="15"/>
      <c r="AA15" s="15"/>
      <c r="AB15" s="16"/>
    </row>
    <row r="16" spans="2:28" x14ac:dyDescent="0.3">
      <c r="B16" s="12" t="s">
        <v>122</v>
      </c>
      <c r="E16" s="21"/>
      <c r="F16" s="15"/>
      <c r="G16" s="15"/>
      <c r="H16" s="15"/>
      <c r="I16" s="15"/>
      <c r="J16" s="15"/>
      <c r="K16" s="15"/>
      <c r="L16" s="15"/>
      <c r="M16" s="15"/>
      <c r="N16" s="15"/>
      <c r="O16" s="15"/>
      <c r="P16" s="15"/>
      <c r="Q16" s="15"/>
      <c r="R16" s="15"/>
      <c r="S16" s="15"/>
      <c r="T16" s="15"/>
      <c r="U16" s="15"/>
      <c r="V16" s="15"/>
      <c r="W16" s="15"/>
      <c r="X16" s="15"/>
      <c r="Y16" s="15"/>
      <c r="Z16" s="15"/>
      <c r="AA16" s="15"/>
      <c r="AB16" s="16"/>
    </row>
    <row r="17" spans="2:28" x14ac:dyDescent="0.3">
      <c r="B17" s="12">
        <v>2003</v>
      </c>
      <c r="E17" s="21"/>
      <c r="F17" s="15"/>
      <c r="G17" s="15"/>
      <c r="H17" s="15"/>
      <c r="I17" s="15"/>
      <c r="J17" s="15"/>
      <c r="K17" s="15"/>
      <c r="L17" s="15"/>
      <c r="M17" s="15"/>
      <c r="N17" s="15"/>
      <c r="O17" s="15"/>
      <c r="P17" s="15"/>
      <c r="Q17" s="15"/>
      <c r="R17" s="15"/>
      <c r="S17" s="15"/>
      <c r="T17" s="15"/>
      <c r="U17" s="15"/>
      <c r="V17" s="15"/>
      <c r="W17" s="15"/>
      <c r="X17" s="15"/>
      <c r="Y17" s="15"/>
      <c r="Z17" s="15"/>
      <c r="AA17" s="15"/>
      <c r="AB17" s="16"/>
    </row>
    <row r="18" spans="2:28" x14ac:dyDescent="0.3">
      <c r="B18" s="12">
        <v>2005</v>
      </c>
      <c r="E18" s="21"/>
      <c r="F18" s="15"/>
      <c r="G18" s="15"/>
      <c r="H18" s="15"/>
      <c r="I18" s="15"/>
      <c r="J18" s="15"/>
      <c r="K18" s="15"/>
      <c r="L18" s="15"/>
      <c r="M18" s="15"/>
      <c r="N18" s="15"/>
      <c r="O18" s="15"/>
      <c r="P18" s="15"/>
      <c r="Q18" s="15"/>
      <c r="R18" s="15"/>
      <c r="S18" s="15"/>
      <c r="T18" s="15"/>
      <c r="U18" s="15"/>
      <c r="V18" s="15"/>
      <c r="W18" s="15"/>
      <c r="X18" s="15"/>
      <c r="Y18" s="15"/>
      <c r="Z18" s="15"/>
      <c r="AA18" s="15"/>
      <c r="AB18" s="16"/>
    </row>
    <row r="19" spans="2:28" x14ac:dyDescent="0.3">
      <c r="B19" s="12" t="s">
        <v>123</v>
      </c>
      <c r="E19" s="21"/>
      <c r="F19" s="15"/>
      <c r="G19" s="15"/>
      <c r="H19" s="15"/>
      <c r="I19" s="15"/>
      <c r="J19" s="15"/>
      <c r="K19" s="15"/>
      <c r="L19" s="15"/>
      <c r="M19" s="15"/>
      <c r="N19" s="15"/>
      <c r="O19" s="15"/>
      <c r="P19" s="15"/>
      <c r="Q19" s="15"/>
      <c r="R19" s="15"/>
      <c r="S19" s="15"/>
      <c r="T19" s="15"/>
      <c r="U19" s="15"/>
      <c r="V19" s="15"/>
      <c r="W19" s="15"/>
      <c r="X19" s="15"/>
      <c r="Y19" s="15"/>
      <c r="Z19" s="15"/>
      <c r="AA19" s="15"/>
      <c r="AB19" s="16"/>
    </row>
    <row r="20" spans="2:28" x14ac:dyDescent="0.3">
      <c r="B20" s="12" t="s">
        <v>124</v>
      </c>
      <c r="E20" s="21"/>
      <c r="F20" s="15"/>
      <c r="G20" s="15"/>
      <c r="H20" s="15"/>
      <c r="I20" s="15"/>
      <c r="J20" s="15"/>
      <c r="K20" s="15"/>
      <c r="L20" s="15"/>
      <c r="M20" s="15"/>
      <c r="N20" s="15"/>
      <c r="O20" s="15"/>
      <c r="P20" s="15"/>
      <c r="Q20" s="15"/>
      <c r="R20" s="15"/>
      <c r="S20" s="15"/>
      <c r="T20" s="15"/>
      <c r="U20" s="15"/>
      <c r="V20" s="15"/>
      <c r="W20" s="15"/>
      <c r="X20" s="15"/>
      <c r="Y20" s="15"/>
      <c r="Z20" s="15"/>
      <c r="AA20" s="15"/>
      <c r="AB20" s="16"/>
    </row>
    <row r="21" spans="2:28" x14ac:dyDescent="0.3">
      <c r="B21" s="12" t="s">
        <v>125</v>
      </c>
      <c r="E21" s="21"/>
      <c r="F21" s="15"/>
      <c r="G21" s="15"/>
      <c r="H21" s="15"/>
      <c r="I21" s="15"/>
      <c r="J21" s="15"/>
      <c r="K21" s="15"/>
      <c r="L21" s="15"/>
      <c r="M21" s="15"/>
      <c r="N21" s="15"/>
      <c r="O21" s="15"/>
      <c r="P21" s="15"/>
      <c r="Q21" s="15"/>
      <c r="R21" s="15"/>
      <c r="S21" s="15"/>
      <c r="T21" s="15"/>
      <c r="U21" s="15"/>
      <c r="V21" s="15"/>
      <c r="W21" s="15"/>
      <c r="X21" s="15"/>
      <c r="Y21" s="15"/>
      <c r="Z21" s="15"/>
      <c r="AA21" s="15"/>
      <c r="AB21" s="16"/>
    </row>
    <row r="22" spans="2:28" x14ac:dyDescent="0.3">
      <c r="B22" s="12" t="s">
        <v>126</v>
      </c>
      <c r="E22" s="21"/>
      <c r="F22" s="15"/>
      <c r="G22" s="15"/>
      <c r="H22" s="15"/>
      <c r="I22" s="15"/>
      <c r="J22" s="15"/>
      <c r="K22" s="15"/>
      <c r="L22" s="15"/>
      <c r="M22" s="15"/>
      <c r="N22" s="15"/>
      <c r="O22" s="15"/>
      <c r="P22" s="15"/>
      <c r="Q22" s="15"/>
      <c r="R22" s="15"/>
      <c r="S22" s="15"/>
      <c r="T22" s="15"/>
      <c r="U22" s="15"/>
      <c r="V22" s="15"/>
      <c r="W22" s="15"/>
      <c r="X22" s="15"/>
      <c r="Y22" s="15"/>
      <c r="Z22" s="15"/>
      <c r="AA22" s="15"/>
      <c r="AB22" s="16"/>
    </row>
    <row r="23" spans="2:28" x14ac:dyDescent="0.3">
      <c r="B23" s="12" t="s">
        <v>127</v>
      </c>
      <c r="E23" s="21"/>
      <c r="F23" s="15"/>
      <c r="G23" s="15"/>
      <c r="H23" s="15"/>
      <c r="I23" s="15"/>
      <c r="J23" s="15"/>
      <c r="K23" s="15"/>
      <c r="L23" s="15"/>
      <c r="M23" s="15"/>
      <c r="N23" s="15"/>
      <c r="O23" s="15"/>
      <c r="P23" s="15"/>
      <c r="Q23" s="15"/>
      <c r="R23" s="15"/>
      <c r="S23" s="15"/>
      <c r="T23" s="15"/>
      <c r="U23" s="15"/>
      <c r="V23" s="15"/>
      <c r="W23" s="15"/>
      <c r="X23" s="15"/>
      <c r="Y23" s="15"/>
      <c r="Z23" s="15"/>
      <c r="AA23" s="15"/>
      <c r="AB23" s="16"/>
    </row>
    <row r="24" spans="2:28" x14ac:dyDescent="0.3">
      <c r="B24" s="12" t="s">
        <v>128</v>
      </c>
      <c r="E24" s="21"/>
      <c r="F24" s="15"/>
      <c r="G24" s="15"/>
      <c r="H24" s="15"/>
      <c r="I24" s="15"/>
      <c r="J24" s="15"/>
      <c r="K24" s="15"/>
      <c r="L24" s="15"/>
      <c r="M24" s="15"/>
      <c r="N24" s="15"/>
      <c r="O24" s="15"/>
      <c r="P24" s="15"/>
      <c r="Q24" s="15"/>
      <c r="R24" s="15"/>
      <c r="S24" s="15"/>
      <c r="T24" s="15"/>
      <c r="U24" s="15"/>
      <c r="V24" s="15"/>
      <c r="W24" s="15"/>
      <c r="X24" s="15"/>
      <c r="Y24" s="15"/>
      <c r="Z24" s="15"/>
      <c r="AA24" s="15"/>
      <c r="AB24" s="16"/>
    </row>
    <row r="25" spans="2:28" x14ac:dyDescent="0.3">
      <c r="B25" s="89">
        <v>9</v>
      </c>
      <c r="E25" s="21"/>
      <c r="F25" s="15"/>
      <c r="G25" s="15"/>
      <c r="H25" s="15"/>
      <c r="I25" s="15"/>
      <c r="J25" s="15"/>
      <c r="K25" s="15"/>
      <c r="L25" s="15"/>
      <c r="M25" s="15"/>
      <c r="N25" s="15"/>
      <c r="O25" s="15"/>
      <c r="P25" s="15"/>
      <c r="Q25" s="15"/>
      <c r="R25" s="15"/>
      <c r="S25" s="15"/>
      <c r="T25" s="15"/>
      <c r="U25" s="15"/>
      <c r="V25" s="15"/>
      <c r="W25" s="15"/>
      <c r="X25" s="15"/>
      <c r="Y25" s="15"/>
      <c r="Z25" s="15"/>
      <c r="AA25" s="15"/>
      <c r="AB25" s="16"/>
    </row>
    <row r="26" spans="2:28" x14ac:dyDescent="0.3">
      <c r="E26" s="21"/>
      <c r="F26" s="15"/>
      <c r="G26" s="15"/>
      <c r="H26" s="15"/>
      <c r="I26" s="15"/>
      <c r="J26" s="15"/>
      <c r="K26" s="15"/>
      <c r="L26" s="15"/>
      <c r="M26" s="15"/>
      <c r="N26" s="15"/>
      <c r="O26" s="15"/>
      <c r="P26" s="15"/>
      <c r="Q26" s="15"/>
      <c r="R26" s="15"/>
      <c r="S26" s="15"/>
      <c r="T26" s="15"/>
      <c r="U26" s="15"/>
      <c r="V26" s="15"/>
      <c r="W26" s="15"/>
      <c r="X26" s="15"/>
      <c r="Y26" s="15"/>
      <c r="Z26" s="15"/>
      <c r="AA26" s="15"/>
      <c r="AB26" s="16"/>
    </row>
    <row r="27" spans="2:28" x14ac:dyDescent="0.3">
      <c r="E27" s="21"/>
      <c r="F27" s="15"/>
      <c r="G27" s="15"/>
      <c r="H27" s="15"/>
      <c r="I27" s="15"/>
      <c r="J27" s="15"/>
      <c r="K27" s="15"/>
      <c r="L27" s="15"/>
      <c r="M27" s="15"/>
      <c r="N27" s="15"/>
      <c r="O27" s="15"/>
      <c r="P27" s="15"/>
      <c r="Q27" s="15"/>
      <c r="R27" s="15"/>
      <c r="S27" s="15"/>
      <c r="T27" s="15"/>
      <c r="U27" s="15"/>
      <c r="V27" s="15"/>
      <c r="W27" s="15"/>
      <c r="X27" s="15"/>
      <c r="Y27" s="15"/>
      <c r="Z27" s="15"/>
      <c r="AA27" s="15"/>
      <c r="AB27" s="16"/>
    </row>
    <row r="28" spans="2:28" x14ac:dyDescent="0.3">
      <c r="B28" s="12" t="s">
        <v>52</v>
      </c>
      <c r="E28" s="21"/>
      <c r="F28" s="15"/>
      <c r="G28" s="15"/>
      <c r="H28" s="15"/>
      <c r="I28" s="15"/>
      <c r="J28" s="15"/>
      <c r="K28" s="15"/>
      <c r="L28" s="15"/>
      <c r="M28" s="15"/>
      <c r="N28" s="15"/>
      <c r="O28" s="15"/>
      <c r="P28" s="15"/>
      <c r="Q28" s="15"/>
      <c r="R28" s="15"/>
      <c r="S28" s="15"/>
      <c r="T28" s="15"/>
      <c r="U28" s="15"/>
      <c r="V28" s="15"/>
      <c r="W28" s="15"/>
      <c r="X28" s="15"/>
      <c r="Y28" s="15"/>
      <c r="Z28" s="15"/>
      <c r="AA28" s="15"/>
      <c r="AB28" s="16"/>
    </row>
    <row r="29" spans="2:28" x14ac:dyDescent="0.3">
      <c r="B29" s="12" t="s">
        <v>40</v>
      </c>
      <c r="E29" s="21"/>
      <c r="F29" s="15"/>
      <c r="G29" s="15"/>
      <c r="H29" s="15"/>
      <c r="I29" s="15"/>
      <c r="J29" s="15"/>
      <c r="K29" s="15"/>
      <c r="L29" s="15"/>
      <c r="M29" s="15"/>
      <c r="N29" s="15"/>
      <c r="O29" s="15"/>
      <c r="P29" s="15"/>
      <c r="Q29" s="15"/>
      <c r="R29" s="15"/>
      <c r="S29" s="15"/>
      <c r="T29" s="15"/>
      <c r="U29" s="15"/>
      <c r="V29" s="15"/>
      <c r="W29" s="15"/>
      <c r="X29" s="15"/>
      <c r="Y29" s="15"/>
      <c r="Z29" s="15"/>
      <c r="AA29" s="15"/>
      <c r="AB29" s="16"/>
    </row>
    <row r="30" spans="2:28" x14ac:dyDescent="0.3">
      <c r="B30" s="6" t="s">
        <v>41</v>
      </c>
      <c r="E30" s="21"/>
      <c r="F30" s="15"/>
      <c r="G30" s="15"/>
      <c r="H30" s="32" t="s">
        <v>91</v>
      </c>
      <c r="I30" s="33" t="str">
        <f>F50</f>
        <v>Current smoker</v>
      </c>
      <c r="J30" s="15"/>
      <c r="K30" s="15"/>
      <c r="L30" s="15"/>
      <c r="M30" s="15"/>
      <c r="N30" s="15"/>
      <c r="O30" s="15"/>
      <c r="P30" s="15"/>
      <c r="Q30" s="15"/>
      <c r="R30" s="15"/>
      <c r="S30" s="15"/>
      <c r="T30" s="15"/>
      <c r="U30" s="15"/>
      <c r="V30" s="15"/>
      <c r="W30" s="15"/>
      <c r="X30" s="15"/>
      <c r="Y30" s="15"/>
      <c r="Z30" s="15"/>
      <c r="AA30" s="15"/>
      <c r="AB30" s="16"/>
    </row>
    <row r="31" spans="2:28" ht="15.6" x14ac:dyDescent="0.3">
      <c r="B31" s="12" t="s">
        <v>157</v>
      </c>
      <c r="E31" s="21"/>
      <c r="F31" s="28"/>
      <c r="G31" s="28"/>
      <c r="H31" s="29" t="s">
        <v>51</v>
      </c>
      <c r="I31" s="103" t="s">
        <v>81</v>
      </c>
      <c r="J31" s="103" t="s">
        <v>53</v>
      </c>
      <c r="K31" s="103" t="s">
        <v>61</v>
      </c>
      <c r="L31" s="103" t="s">
        <v>62</v>
      </c>
      <c r="M31" s="103" t="s">
        <v>82</v>
      </c>
      <c r="N31" s="103" t="s">
        <v>83</v>
      </c>
      <c r="O31" s="103" t="s">
        <v>98</v>
      </c>
      <c r="P31" s="103" t="s">
        <v>85</v>
      </c>
      <c r="Q31" s="103" t="s">
        <v>86</v>
      </c>
      <c r="R31" s="103" t="s">
        <v>67</v>
      </c>
      <c r="S31" s="103" t="s">
        <v>52</v>
      </c>
      <c r="T31" s="15"/>
      <c r="U31" s="211" t="s">
        <v>146</v>
      </c>
      <c r="V31" s="15"/>
      <c r="W31" s="15"/>
      <c r="X31" s="15"/>
      <c r="Y31" s="15"/>
      <c r="Z31" s="15"/>
      <c r="AA31" s="15"/>
      <c r="AB31" s="16"/>
    </row>
    <row r="32" spans="2:28" x14ac:dyDescent="0.3">
      <c r="B32" s="12" t="s">
        <v>79</v>
      </c>
      <c r="E32" s="21"/>
      <c r="F32" s="15"/>
      <c r="G32" s="12"/>
      <c r="H32" s="22" t="s">
        <v>89</v>
      </c>
      <c r="I32" s="9">
        <f t="shared" ref="I32:S32" si="0">F54</f>
        <v>14336</v>
      </c>
      <c r="J32" s="9">
        <f t="shared" si="0"/>
        <v>3217</v>
      </c>
      <c r="K32" s="9">
        <f t="shared" si="0"/>
        <v>24649</v>
      </c>
      <c r="L32" s="9">
        <f t="shared" si="0"/>
        <v>15449</v>
      </c>
      <c r="M32" s="9">
        <f t="shared" si="0"/>
        <v>237568</v>
      </c>
      <c r="N32" s="9">
        <f t="shared" si="0"/>
        <v>339366</v>
      </c>
      <c r="O32" s="9">
        <f t="shared" si="0"/>
        <v>35537</v>
      </c>
      <c r="P32" s="9">
        <f t="shared" si="0"/>
        <v>36350</v>
      </c>
      <c r="Q32" s="9">
        <f t="shared" si="0"/>
        <v>126969</v>
      </c>
      <c r="R32" s="9">
        <f t="shared" si="0"/>
        <v>103375</v>
      </c>
      <c r="S32" s="9">
        <f t="shared" si="0"/>
        <v>946848</v>
      </c>
      <c r="T32" s="15"/>
      <c r="U32" s="260" t="s">
        <v>147</v>
      </c>
      <c r="V32" s="15"/>
      <c r="W32" s="15"/>
      <c r="X32" s="15"/>
      <c r="Y32" s="15"/>
      <c r="Z32" s="15"/>
      <c r="AA32" s="15"/>
      <c r="AB32" s="16"/>
    </row>
    <row r="33" spans="2:28" x14ac:dyDescent="0.3">
      <c r="B33" s="89">
        <v>2</v>
      </c>
      <c r="E33" s="21"/>
      <c r="F33" s="15"/>
      <c r="G33" s="12"/>
      <c r="H33" s="22" t="s">
        <v>90</v>
      </c>
      <c r="I33" s="100">
        <f t="shared" ref="I33:S33" si="1">IFERROR(R54,"Fail")</f>
        <v>0.24348653147185706</v>
      </c>
      <c r="J33" s="100">
        <f t="shared" si="1"/>
        <v>0.17538025404786567</v>
      </c>
      <c r="K33" s="100">
        <f t="shared" si="1"/>
        <v>0.20176479736753788</v>
      </c>
      <c r="L33" s="100">
        <f t="shared" si="1"/>
        <v>0.21634224898473603</v>
      </c>
      <c r="M33" s="100">
        <f t="shared" si="1"/>
        <v>0.23589315857412371</v>
      </c>
      <c r="N33" s="100">
        <f t="shared" si="1"/>
        <v>0.18234425574167923</v>
      </c>
      <c r="O33" s="100">
        <f t="shared" si="1"/>
        <v>0.2109020771513353</v>
      </c>
      <c r="P33" s="100">
        <f t="shared" si="1"/>
        <v>0.2635776955985788</v>
      </c>
      <c r="Q33" s="100">
        <f t="shared" si="1"/>
        <v>0.21752143194885115</v>
      </c>
      <c r="R33" s="100">
        <f t="shared" si="1"/>
        <v>0.16875952970983973</v>
      </c>
      <c r="S33" s="100">
        <f t="shared" si="1"/>
        <v>0.20318739975802441</v>
      </c>
      <c r="T33" s="15"/>
      <c r="U33" s="229" t="s">
        <v>148</v>
      </c>
      <c r="V33" s="15"/>
      <c r="W33" s="15"/>
      <c r="X33" s="15"/>
      <c r="Y33" s="15"/>
      <c r="Z33" s="15"/>
      <c r="AA33" s="15"/>
      <c r="AB33" s="16"/>
    </row>
    <row r="34" spans="2:28" x14ac:dyDescent="0.3">
      <c r="E34" s="21"/>
      <c r="F34" s="15"/>
      <c r="G34" s="34"/>
      <c r="H34" s="34"/>
      <c r="I34" s="101"/>
      <c r="J34" s="101"/>
      <c r="K34" s="101"/>
      <c r="L34" s="101"/>
      <c r="M34" s="101"/>
      <c r="N34" s="101"/>
      <c r="O34" s="101"/>
      <c r="P34" s="102"/>
      <c r="Q34" s="102"/>
      <c r="R34" s="102"/>
      <c r="S34" s="102"/>
      <c r="T34" s="15"/>
      <c r="U34" s="260" t="s">
        <v>153</v>
      </c>
      <c r="V34" s="15"/>
      <c r="W34" s="15"/>
      <c r="X34" s="15"/>
      <c r="Y34" s="15"/>
      <c r="Z34" s="15"/>
      <c r="AA34" s="15"/>
      <c r="AB34" s="16"/>
    </row>
    <row r="35" spans="2:28" x14ac:dyDescent="0.3">
      <c r="B35" s="6" t="s">
        <v>77</v>
      </c>
      <c r="E35" s="21"/>
      <c r="F35" s="28"/>
      <c r="G35" s="28"/>
      <c r="H35" s="29" t="s">
        <v>97</v>
      </c>
      <c r="I35" s="103" t="s">
        <v>81</v>
      </c>
      <c r="J35" s="103" t="s">
        <v>53</v>
      </c>
      <c r="K35" s="103" t="s">
        <v>61</v>
      </c>
      <c r="L35" s="103" t="s">
        <v>62</v>
      </c>
      <c r="M35" s="103" t="s">
        <v>82</v>
      </c>
      <c r="N35" s="103" t="s">
        <v>83</v>
      </c>
      <c r="O35" s="103" t="s">
        <v>98</v>
      </c>
      <c r="P35" s="103" t="s">
        <v>85</v>
      </c>
      <c r="Q35" s="103" t="s">
        <v>86</v>
      </c>
      <c r="R35" s="103" t="s">
        <v>67</v>
      </c>
      <c r="S35" s="103"/>
      <c r="T35" s="15"/>
      <c r="U35" s="229" t="s">
        <v>154</v>
      </c>
      <c r="V35" s="15"/>
      <c r="W35" s="15"/>
      <c r="X35" s="15"/>
      <c r="Y35" s="15"/>
      <c r="Z35" s="15"/>
      <c r="AA35" s="15"/>
      <c r="AB35" s="16"/>
    </row>
    <row r="36" spans="2:28" x14ac:dyDescent="0.2">
      <c r="B36" s="4">
        <f>IF(B12=1,0,(IF(B12=2,5,(IF(B12=3,10,(IF(B12=4,15,(IF(B12=5,20,(IF(B12=6,25,(IF(B12=7,30,35)))))))))))))</f>
        <v>5</v>
      </c>
      <c r="E36" s="21"/>
      <c r="F36" s="15"/>
      <c r="G36" s="12"/>
      <c r="H36" s="22" t="s">
        <v>89</v>
      </c>
      <c r="I36" s="9">
        <f>IFERROR(F55,"FAIL")</f>
        <v>3555.328</v>
      </c>
      <c r="J36" s="9">
        <f t="shared" ref="J36:R36" si="2">IFERROR(G55,"FAIL")</f>
        <v>1068.0440000000001</v>
      </c>
      <c r="K36" s="9">
        <f t="shared" si="2"/>
        <v>5077.6940000000004</v>
      </c>
      <c r="L36" s="9">
        <f t="shared" si="2"/>
        <v>4387.5159999999996</v>
      </c>
      <c r="M36" s="9">
        <f t="shared" si="2"/>
        <v>25182.207999999999</v>
      </c>
      <c r="N36" s="9">
        <f t="shared" si="2"/>
        <v>38687.724000000002</v>
      </c>
      <c r="O36" s="9">
        <f t="shared" si="2"/>
        <v>7178.4740000000002</v>
      </c>
      <c r="P36" s="9">
        <f t="shared" si="2"/>
        <v>7924.3</v>
      </c>
      <c r="Q36" s="9">
        <f t="shared" si="2"/>
        <v>16252.032000000001</v>
      </c>
      <c r="R36" s="9">
        <f t="shared" si="2"/>
        <v>15506.25</v>
      </c>
      <c r="S36" s="9">
        <f>IFERROR(P55,"FAIL")</f>
        <v>54917.183999999994</v>
      </c>
      <c r="T36" s="15"/>
      <c r="U36" s="260" t="s">
        <v>149</v>
      </c>
      <c r="V36" s="15"/>
      <c r="W36" s="15"/>
      <c r="X36" s="15"/>
      <c r="Y36" s="15"/>
      <c r="Z36" s="15"/>
      <c r="AA36" s="15"/>
      <c r="AB36" s="16"/>
    </row>
    <row r="37" spans="2:28" x14ac:dyDescent="0.3">
      <c r="B37" s="6" t="s">
        <v>80</v>
      </c>
      <c r="E37" s="21"/>
      <c r="F37" s="15"/>
      <c r="G37" s="12"/>
      <c r="H37" s="22" t="s">
        <v>90</v>
      </c>
      <c r="I37" s="100">
        <f>IFERROR(R55,"FAIL")</f>
        <v>6.038465980502055E-2</v>
      </c>
      <c r="J37" s="100">
        <f t="shared" ref="J37:S37" si="3">IFERROR(S55,"FAIL")</f>
        <v>5.8226244343891412E-2</v>
      </c>
      <c r="K37" s="100">
        <f t="shared" si="3"/>
        <v>4.1563548257712808E-2</v>
      </c>
      <c r="L37" s="100">
        <f t="shared" si="3"/>
        <v>6.1441198711665035E-2</v>
      </c>
      <c r="M37" s="100">
        <f t="shared" si="3"/>
        <v>2.5004674808857111E-2</v>
      </c>
      <c r="N37" s="100">
        <f t="shared" si="3"/>
        <v>2.0787245154551433E-2</v>
      </c>
      <c r="O37" s="100">
        <f t="shared" si="3"/>
        <v>4.260221958456973E-2</v>
      </c>
      <c r="P37" s="100">
        <f t="shared" si="3"/>
        <v>5.7459937640490184E-2</v>
      </c>
      <c r="Q37" s="100">
        <f t="shared" si="3"/>
        <v>2.7842743289452951E-2</v>
      </c>
      <c r="R37" s="100">
        <f t="shared" si="3"/>
        <v>2.531392945647596E-2</v>
      </c>
      <c r="S37" s="100">
        <f t="shared" si="3"/>
        <v>1.1784869185965417E-2</v>
      </c>
      <c r="T37" s="15"/>
      <c r="U37" s="229" t="s">
        <v>150</v>
      </c>
      <c r="V37" s="15"/>
      <c r="W37" s="15"/>
      <c r="X37" s="15"/>
      <c r="Y37" s="15"/>
      <c r="Z37" s="15"/>
      <c r="AA37" s="15"/>
      <c r="AB37" s="16"/>
    </row>
    <row r="38" spans="2:28" x14ac:dyDescent="0.2">
      <c r="B38" s="4">
        <f>cyclevalue-1</f>
        <v>8</v>
      </c>
      <c r="E38" s="21"/>
      <c r="F38" s="15"/>
      <c r="G38" s="15"/>
      <c r="H38" s="32"/>
      <c r="I38" s="34"/>
      <c r="J38" s="15"/>
      <c r="K38" s="32"/>
      <c r="L38" s="38"/>
      <c r="M38" s="15"/>
      <c r="N38" s="15"/>
      <c r="O38" s="15"/>
      <c r="P38" s="15"/>
      <c r="Q38" s="15"/>
      <c r="R38" s="32"/>
      <c r="S38" s="35"/>
      <c r="T38" s="15"/>
      <c r="U38" s="260" t="s">
        <v>151</v>
      </c>
      <c r="V38" s="15"/>
      <c r="W38" s="15"/>
      <c r="X38" s="15"/>
      <c r="Y38" s="15"/>
      <c r="Z38" s="15"/>
      <c r="AA38" s="15"/>
      <c r="AB38" s="16"/>
    </row>
    <row r="39" spans="2:28" x14ac:dyDescent="0.2">
      <c r="B39" s="1" t="s">
        <v>118</v>
      </c>
      <c r="E39" s="21"/>
      <c r="F39" s="15"/>
      <c r="G39" s="46" t="s">
        <v>43</v>
      </c>
      <c r="H39" s="47"/>
      <c r="I39" s="50"/>
      <c r="J39" s="50"/>
      <c r="K39" s="50"/>
      <c r="L39" s="50"/>
      <c r="M39" s="50"/>
      <c r="N39" s="50"/>
      <c r="O39" s="50"/>
      <c r="P39" s="50"/>
      <c r="Q39" s="50"/>
      <c r="R39" s="50"/>
      <c r="S39" s="91"/>
      <c r="T39" s="15"/>
      <c r="U39" s="229" t="s">
        <v>152</v>
      </c>
      <c r="V39" s="15"/>
      <c r="W39" s="15"/>
      <c r="X39" s="15"/>
      <c r="Y39" s="15"/>
      <c r="Z39" s="15"/>
      <c r="AA39" s="15"/>
      <c r="AB39" s="16"/>
    </row>
    <row r="40" spans="2:28" x14ac:dyDescent="0.2">
      <c r="B40" s="4">
        <f>behaviour2value-1</f>
        <v>1</v>
      </c>
      <c r="E40" s="21"/>
      <c r="F40" s="15"/>
      <c r="G40" s="48"/>
      <c r="H40" s="49" t="str">
        <f>I30</f>
        <v>Current smoker</v>
      </c>
      <c r="I40" s="51">
        <f>IF(F56&lt;16.6,0,IF(F56&lt;33.4,"E", "F"))</f>
        <v>0</v>
      </c>
      <c r="J40" s="51" t="str">
        <f>IF(G56&lt;16.6,0,IF(G56&lt;33.4,"E", "F"))</f>
        <v>E</v>
      </c>
      <c r="K40" s="51">
        <f t="shared" ref="K40:S40" si="4">IF(H56&lt;16.6,0,IF(H56&lt;33.4,"E", "F"))</f>
        <v>0</v>
      </c>
      <c r="L40" s="51">
        <f t="shared" si="4"/>
        <v>0</v>
      </c>
      <c r="M40" s="51">
        <f t="shared" si="4"/>
        <v>0</v>
      </c>
      <c r="N40" s="51">
        <f t="shared" si="4"/>
        <v>0</v>
      </c>
      <c r="O40" s="51">
        <f t="shared" si="4"/>
        <v>0</v>
      </c>
      <c r="P40" s="51">
        <f t="shared" si="4"/>
        <v>0</v>
      </c>
      <c r="Q40" s="51">
        <f t="shared" si="4"/>
        <v>0</v>
      </c>
      <c r="R40" s="51">
        <f t="shared" si="4"/>
        <v>0</v>
      </c>
      <c r="S40" s="92">
        <f t="shared" si="4"/>
        <v>0</v>
      </c>
      <c r="T40" s="15"/>
      <c r="U40" s="15"/>
      <c r="V40" s="15"/>
      <c r="W40" s="15"/>
      <c r="X40" s="15"/>
      <c r="Y40" s="15"/>
      <c r="Z40" s="15"/>
      <c r="AA40" s="15"/>
      <c r="AB40" s="16"/>
    </row>
    <row r="41" spans="2:28" x14ac:dyDescent="0.2">
      <c r="B41" s="1"/>
      <c r="E41" s="21"/>
      <c r="F41" s="15"/>
      <c r="G41" s="34"/>
      <c r="H41" s="15"/>
      <c r="I41" s="32"/>
      <c r="J41" s="38"/>
      <c r="K41" s="15"/>
      <c r="L41" s="15"/>
      <c r="M41" s="15"/>
      <c r="N41" s="15"/>
      <c r="O41" s="15"/>
      <c r="P41" s="32"/>
      <c r="Q41" s="35"/>
      <c r="R41" s="15"/>
      <c r="S41" s="15"/>
      <c r="T41" s="15"/>
      <c r="U41" s="15"/>
      <c r="V41" s="15"/>
      <c r="W41" s="15"/>
      <c r="X41" s="15"/>
      <c r="Y41" s="15"/>
      <c r="Z41" s="15"/>
      <c r="AA41" s="15"/>
      <c r="AB41" s="16"/>
    </row>
    <row r="42" spans="2:28" x14ac:dyDescent="0.3">
      <c r="B42" s="12"/>
      <c r="E42" s="21"/>
      <c r="F42" s="15"/>
      <c r="G42" s="15"/>
      <c r="H42" s="15"/>
      <c r="I42" s="15"/>
      <c r="J42" s="15"/>
      <c r="K42" s="15"/>
      <c r="L42" s="15"/>
      <c r="M42" s="15"/>
      <c r="N42" s="15"/>
      <c r="O42" s="15"/>
      <c r="P42" s="15"/>
      <c r="Q42" s="15"/>
      <c r="R42" s="15"/>
      <c r="S42" s="15"/>
      <c r="T42" s="15"/>
      <c r="U42" s="15"/>
      <c r="V42" s="15"/>
      <c r="W42" s="15"/>
      <c r="X42" s="15"/>
      <c r="Y42" s="15"/>
      <c r="Z42" s="15"/>
      <c r="AA42" s="15"/>
      <c r="AB42" s="16"/>
    </row>
    <row r="43" spans="2:28" ht="15" thickBot="1" x14ac:dyDescent="0.35">
      <c r="B43" s="12"/>
      <c r="E43" s="17"/>
      <c r="F43" s="18"/>
      <c r="G43" s="18"/>
      <c r="H43" s="18"/>
      <c r="I43" s="18"/>
      <c r="J43" s="18"/>
      <c r="K43" s="18"/>
      <c r="L43" s="18"/>
      <c r="M43" s="18"/>
      <c r="N43" s="18"/>
      <c r="O43" s="18"/>
      <c r="P43" s="18"/>
      <c r="Q43" s="18"/>
      <c r="R43" s="18"/>
      <c r="S43" s="18"/>
      <c r="T43" s="18"/>
      <c r="U43" s="18"/>
      <c r="V43" s="18"/>
      <c r="W43" s="18"/>
      <c r="X43" s="18"/>
      <c r="Y43" s="18"/>
      <c r="Z43" s="18"/>
      <c r="AA43" s="18"/>
      <c r="AB43" s="19"/>
    </row>
    <row r="44" spans="2:28" s="12" customFormat="1" ht="10.199999999999999" x14ac:dyDescent="0.3">
      <c r="B44" s="7"/>
    </row>
    <row r="45" spans="2:28" s="12" customFormat="1" ht="10.199999999999999" x14ac:dyDescent="0.3">
      <c r="B45" s="7"/>
    </row>
    <row r="46" spans="2:28" s="23" customFormat="1" ht="25.8" x14ac:dyDescent="0.3">
      <c r="B46" s="54"/>
      <c r="C46" s="25"/>
      <c r="E46" s="24"/>
      <c r="F46" s="25" t="s">
        <v>13</v>
      </c>
    </row>
    <row r="47" spans="2:28" s="12" customFormat="1" ht="10.199999999999999" x14ac:dyDescent="0.3">
      <c r="B47" s="7"/>
    </row>
    <row r="48" spans="2:28" s="12" customFormat="1" ht="13.8" x14ac:dyDescent="0.3">
      <c r="B48" s="7"/>
      <c r="E48" s="12" t="s">
        <v>96</v>
      </c>
      <c r="F48" s="52" t="str">
        <f>INDEX(Cycleb,cyclevalue)</f>
        <v>2017-2018</v>
      </c>
    </row>
    <row r="49" spans="2:29" s="12" customFormat="1" ht="13.8" x14ac:dyDescent="0.3">
      <c r="B49" s="7"/>
      <c r="E49" s="22" t="s">
        <v>77</v>
      </c>
      <c r="F49" s="52" t="str">
        <f>INDEX(population2,population2value)</f>
        <v>20 to 29 year olds</v>
      </c>
      <c r="G49" s="12" t="s">
        <v>24</v>
      </c>
      <c r="I49" s="52" t="s">
        <v>11</v>
      </c>
    </row>
    <row r="50" spans="2:29" s="12" customFormat="1" ht="13.8" x14ac:dyDescent="0.3">
      <c r="B50" s="7"/>
      <c r="E50" s="22" t="s">
        <v>87</v>
      </c>
      <c r="F50" s="52" t="str">
        <f>INDEX(behaviour2,behaviour2value)</f>
        <v>Current smoker</v>
      </c>
      <c r="G50" s="12" t="s">
        <v>24</v>
      </c>
      <c r="I50" s="52" t="s">
        <v>90</v>
      </c>
    </row>
    <row r="51" spans="2:29" s="12" customFormat="1" x14ac:dyDescent="0.3">
      <c r="B51" s="7"/>
      <c r="E51" s="22"/>
      <c r="F51" s="53"/>
    </row>
    <row r="52" spans="2:29" s="12" customFormat="1" x14ac:dyDescent="0.3">
      <c r="B52" s="7"/>
      <c r="E52" s="22"/>
      <c r="F52" s="53" t="str">
        <f>CONCATENATE(I49,G49, F48,G49,F49,G50,F50)</f>
        <v>Number of people, 2017-2018, 20 to 29 year olds, Current smoker</v>
      </c>
      <c r="J52" s="53" t="str">
        <f>CONCATENATE(I50,G49,F48,G49,F49,G50,F50)</f>
        <v>Prevalence, 2017-2018, 20 to 29 year olds, Current smoker</v>
      </c>
      <c r="P52" s="26" t="str">
        <f>CONCATENATE(P53,G50,F49, G49, F50, G49, F51)</f>
        <v xml:space="preserve">Canada, 20 to 29 year olds, Current smoker, </v>
      </c>
      <c r="U52" s="219" t="str">
        <f>CONCATENATE("Share of population, ", F49,", ", F48)</f>
        <v>Share of population, 20 to 29 year olds, 2017-2018</v>
      </c>
    </row>
    <row r="53" spans="2:29" s="12" customFormat="1" x14ac:dyDescent="0.3">
      <c r="B53" s="7"/>
      <c r="C53" s="12" t="s">
        <v>117</v>
      </c>
      <c r="D53" s="30"/>
      <c r="E53" s="43" t="s">
        <v>11</v>
      </c>
      <c r="F53" s="42" t="s">
        <v>81</v>
      </c>
      <c r="G53" s="42" t="s">
        <v>53</v>
      </c>
      <c r="H53" s="42" t="s">
        <v>61</v>
      </c>
      <c r="I53" s="42" t="s">
        <v>62</v>
      </c>
      <c r="J53" s="42" t="s">
        <v>82</v>
      </c>
      <c r="K53" s="42" t="s">
        <v>83</v>
      </c>
      <c r="L53" s="42" t="s">
        <v>98</v>
      </c>
      <c r="M53" s="42" t="s">
        <v>85</v>
      </c>
      <c r="N53" s="42" t="s">
        <v>86</v>
      </c>
      <c r="O53" s="42" t="s">
        <v>67</v>
      </c>
      <c r="P53" s="43" t="s">
        <v>158</v>
      </c>
      <c r="R53" s="42" t="s">
        <v>81</v>
      </c>
      <c r="S53" s="42" t="s">
        <v>53</v>
      </c>
      <c r="T53" s="42" t="s">
        <v>61</v>
      </c>
      <c r="U53" s="42" t="s">
        <v>62</v>
      </c>
      <c r="V53" s="42" t="s">
        <v>82</v>
      </c>
      <c r="W53" s="42" t="s">
        <v>83</v>
      </c>
      <c r="X53" s="42" t="s">
        <v>98</v>
      </c>
      <c r="Y53" s="42" t="s">
        <v>85</v>
      </c>
      <c r="Z53" s="42" t="s">
        <v>86</v>
      </c>
      <c r="AA53" s="42" t="s">
        <v>67</v>
      </c>
      <c r="AB53" s="43" t="s">
        <v>158</v>
      </c>
    </row>
    <row r="54" spans="2:29" s="12" customFormat="1" ht="10.199999999999999" x14ac:dyDescent="0.3">
      <c r="B54" s="7"/>
      <c r="E54" s="22" t="str">
        <f>F50</f>
        <v>Current smoker</v>
      </c>
      <c r="F54" s="2">
        <f>INDEX(rangeprovince, 1+population2value2+behaviour2value2, F$94+cyclevalue-1)</f>
        <v>14336</v>
      </c>
      <c r="G54" s="2">
        <f>INDEX(rangeprovince, 42+population2value2+behaviour2value2, F$94+cyclevalue-1)</f>
        <v>3217</v>
      </c>
      <c r="H54" s="2">
        <f>INDEX(rangeprovince, 83+population2value2+behaviour2value2, F$94+cyclevalue-1)</f>
        <v>24649</v>
      </c>
      <c r="I54" s="2">
        <f>INDEX(rangeprovince, 124+population2value2+behaviour2value2, F$94+cyclevalue-1)</f>
        <v>15449</v>
      </c>
      <c r="J54" s="2">
        <f>INDEX(rangeprovince, 165+population2value2+behaviour2value2, F$94+cyclevalue-1)</f>
        <v>237568</v>
      </c>
      <c r="K54" s="2">
        <f>INDEX(rangeprovince, 206+population2value2+behaviour2value2, F$94+cyclevalue-1)</f>
        <v>339366</v>
      </c>
      <c r="L54" s="2">
        <f>INDEX(rangeprovince, 247+population2value2+behaviour2value2, F$94+cyclevalue-1)</f>
        <v>35537</v>
      </c>
      <c r="M54" s="2">
        <f>INDEX(rangeprovince, 288+population2value2+behaviour2value2, F$94+cyclevalue-1)</f>
        <v>36350</v>
      </c>
      <c r="N54" s="2">
        <f>INDEX(rangeprovince, 329+population2value2+behaviour2value2, F$94+cyclevalue-1)</f>
        <v>126969</v>
      </c>
      <c r="O54" s="2">
        <f>INDEX(rangeprovince, 370+population2value2+behaviour2value2, F$94+cyclevalue-1)</f>
        <v>103375</v>
      </c>
      <c r="P54" s="2">
        <f>INDEX(rangeprovince, 411+population2value2+behaviour2value2, F$94+cyclevalue-1)</f>
        <v>946848</v>
      </c>
      <c r="R54" s="3">
        <f>INDEX(rangeprovince, 1+population2value2+behaviour2value2, AM$94+cyclevalue-1)</f>
        <v>0.24348653147185706</v>
      </c>
      <c r="S54" s="3">
        <f>INDEX(rangeprovince, 42+population2value2+behaviour2value2, AM$94+cyclevalue-1)</f>
        <v>0.17538025404786567</v>
      </c>
      <c r="T54" s="3">
        <f>INDEX(rangeprovince, 83+population2value2+behaviour2value2, AM$94+cyclevalue-1)</f>
        <v>0.20176479736753788</v>
      </c>
      <c r="U54" s="3">
        <f>INDEX(rangeprovince, 124+population2value2+behaviour2value2, AM$94+cyclevalue-1)</f>
        <v>0.21634224898473603</v>
      </c>
      <c r="V54" s="3">
        <f>INDEX(rangeprovince, 165+population2value2+behaviour2value2, AM$94+cyclevalue-1)</f>
        <v>0.23589315857412371</v>
      </c>
      <c r="W54" s="3">
        <f>INDEX(rangeprovince, 206+population2value2+behaviour2value2, AM$94+cyclevalue-1)</f>
        <v>0.18234425574167923</v>
      </c>
      <c r="X54" s="3">
        <f>INDEX(rangeprovince, 247+population2value2+behaviour2value2, AM$94+cyclevalue-1)</f>
        <v>0.2109020771513353</v>
      </c>
      <c r="Y54" s="3">
        <f>INDEX(rangeprovince, 288+population2value2+behaviour2value2, AM$94+cyclevalue-1)</f>
        <v>0.2635776955985788</v>
      </c>
      <c r="Z54" s="3">
        <f>INDEX(rangeprovince, 329+population2value2+behaviour2value2, AM$94+cyclevalue-1)</f>
        <v>0.21752143194885115</v>
      </c>
      <c r="AA54" s="3">
        <f>INDEX(rangeprovince, 370+population2value2+behaviour2value2, AM$94+cyclevalue-1)</f>
        <v>0.16875952970983973</v>
      </c>
      <c r="AB54" s="3">
        <f>INDEX(rangeprovince, 411+population2value2+behaviour2value2, AM$94+cyclevalue-1)</f>
        <v>0.20318739975802441</v>
      </c>
      <c r="AC54" s="3"/>
    </row>
    <row r="55" spans="2:29" s="12" customFormat="1" ht="10.199999999999999" x14ac:dyDescent="0.3">
      <c r="B55" s="7"/>
      <c r="E55" s="22" t="s">
        <v>94</v>
      </c>
      <c r="F55" s="2">
        <f>INDEX(rangeprovince, 1+population2value2+behaviour2value2, AB$94+cyclevalue-1)</f>
        <v>3555.328</v>
      </c>
      <c r="G55" s="2">
        <f>INDEX(rangeprovince, 42+population2value2+behaviour2value2, AB$94+cyclevalue-1)</f>
        <v>1068.0440000000001</v>
      </c>
      <c r="H55" s="2">
        <f>INDEX(rangeprovince, 83+population2value2+behaviour2value2, AB$94+cyclevalue-1)</f>
        <v>5077.6940000000004</v>
      </c>
      <c r="I55" s="2">
        <f>INDEX(rangeprovince, 124+population2value2+behaviour2value2, AB$94+cyclevalue-1)</f>
        <v>4387.5159999999996</v>
      </c>
      <c r="J55" s="2">
        <f>INDEX(rangeprovince, 165+population2value2+behaviour2value2, AB$94+cyclevalue-1)</f>
        <v>25182.207999999999</v>
      </c>
      <c r="K55" s="2">
        <f>INDEX(rangeprovince, 206+population2value2+behaviour2value2, AB$94+cyclevalue-1)</f>
        <v>38687.724000000002</v>
      </c>
      <c r="L55" s="2">
        <f>INDEX(rangeprovince, 247+population2value2+behaviour2value2, AB$94+cyclevalue-1)</f>
        <v>7178.4740000000002</v>
      </c>
      <c r="M55" s="2">
        <f>INDEX(rangeprovince, 288+population2value2+behaviour2value2, AB$94+cyclevalue-1)</f>
        <v>7924.3</v>
      </c>
      <c r="N55" s="2">
        <f>INDEX(rangeprovince, 329+population2value2+behaviour2value2, AB$94+cyclevalue-1)</f>
        <v>16252.032000000001</v>
      </c>
      <c r="O55" s="2">
        <f>INDEX(rangeprovince, 370+population2value2+behaviour2value2, AB$94+cyclevalue-1)</f>
        <v>15506.25</v>
      </c>
      <c r="P55" s="2">
        <f>INDEX(rangeprovince, 411+population2value2+behaviour2value2, AB$94+cyclevalue-1)</f>
        <v>54917.183999999994</v>
      </c>
      <c r="R55" s="218">
        <f>INDEX(rangeprovince, 1+population2value2+behaviour2value2, AX$94+cyclevalue-1)</f>
        <v>6.038465980502055E-2</v>
      </c>
      <c r="S55" s="218">
        <f>INDEX(rangeprovince, 42+population2value2+behaviour2value2, AX$94+cyclevalue-1)</f>
        <v>5.8226244343891412E-2</v>
      </c>
      <c r="T55" s="218">
        <f>INDEX(rangeprovince, 83+population2value2+behaviour2value2, AX$94+cyclevalue-1)</f>
        <v>4.1563548257712808E-2</v>
      </c>
      <c r="U55" s="218">
        <f>INDEX(rangeprovince, 124+population2value2+behaviour2value2, AX$94+cyclevalue-1)</f>
        <v>6.1441198711665035E-2</v>
      </c>
      <c r="V55" s="218">
        <f>INDEX(rangeprovince, 165+population2value2+behaviour2value2, AX$94+cyclevalue-1)</f>
        <v>2.5004674808857111E-2</v>
      </c>
      <c r="W55" s="218">
        <f>INDEX(rangeprovince, 206+population2value2+behaviour2value2, AX$94+cyclevalue-1)</f>
        <v>2.0787245154551433E-2</v>
      </c>
      <c r="X55" s="218">
        <f>INDEX(rangeprovince, 247+population2value2+behaviour2value2, AX$94+cyclevalue-1)</f>
        <v>4.260221958456973E-2</v>
      </c>
      <c r="Y55" s="218">
        <f>INDEX(rangeprovince, 288+population2value2+behaviour2value2, AX$94+cyclevalue-1)</f>
        <v>5.7459937640490184E-2</v>
      </c>
      <c r="Z55" s="218">
        <f>INDEX(rangeprovince, 329+population2value2+behaviour2value2, AX$94+cyclevalue-1)</f>
        <v>2.7842743289452951E-2</v>
      </c>
      <c r="AA55" s="218">
        <f>INDEX(rangeprovince, 370+population2value2+behaviour2value2, AX$94+cyclevalue-1)</f>
        <v>2.531392945647596E-2</v>
      </c>
      <c r="AB55" s="218">
        <f>INDEX(rangeprovince, 411+population2value2+behaviour2value2, AX$94+cyclevalue-1)</f>
        <v>1.1784869185965417E-2</v>
      </c>
    </row>
    <row r="56" spans="2:29" s="12" customFormat="1" ht="10.199999999999999" x14ac:dyDescent="0.3">
      <c r="B56" s="7"/>
      <c r="E56" s="22" t="s">
        <v>95</v>
      </c>
      <c r="F56" s="90">
        <f>INDEX(rangeprovince, 1+population2value2+behaviour2value2, Q94+cyclevalue-1)</f>
        <v>12.4</v>
      </c>
      <c r="G56" s="90">
        <f>INDEX(rangeprovince, 42+population2value2+behaviour2value2, Q$94+cyclevalue-1)</f>
        <v>16.600000000000001</v>
      </c>
      <c r="H56" s="90">
        <f>INDEX(rangeprovince, 83+population2value2+behaviour2value2, Q$94+cyclevalue-1)</f>
        <v>10.3</v>
      </c>
      <c r="I56" s="90">
        <f>INDEX(rangeprovince, 124+population2value2+behaviour2value2, Q$94+cyclevalue-1)</f>
        <v>14.2</v>
      </c>
      <c r="J56" s="90">
        <f>INDEX(rangeprovince, 165+population2value2+behaviour2value2, Q$94+cyclevalue-1)</f>
        <v>5.3</v>
      </c>
      <c r="K56" s="90">
        <f>INDEX(rangeprovince, 206+population2value2+behaviour2value2, Q$94+cyclevalue-1)</f>
        <v>5.7</v>
      </c>
      <c r="L56" s="90">
        <f>INDEX(rangeprovince, 247+population2value2+behaviour2value2, Q$94+cyclevalue-1)</f>
        <v>10.1</v>
      </c>
      <c r="M56" s="90">
        <f>INDEX(rangeprovince, 288+population2value2+behaviour2value2, Q$94+cyclevalue-1)</f>
        <v>10.9</v>
      </c>
      <c r="N56" s="90">
        <f>INDEX(rangeprovince, 329+population2value2+behaviour2value2, Q$94+cyclevalue-1)</f>
        <v>6.4</v>
      </c>
      <c r="O56" s="90">
        <f>INDEX(rangeprovince, 370+population2value2+behaviour2value2, Q$94+cyclevalue-1)</f>
        <v>7.5</v>
      </c>
      <c r="P56" s="90">
        <f>INDEX(rangeprovince, 411+population2value2+behaviour2value2, Q$94+cyclevalue-1)</f>
        <v>2.9</v>
      </c>
    </row>
    <row r="57" spans="2:29" s="12" customFormat="1" x14ac:dyDescent="0.3">
      <c r="B57" s="7"/>
      <c r="E57" s="22"/>
      <c r="F57" s="53"/>
      <c r="P57" s="26"/>
      <c r="Z57" s="3"/>
      <c r="AA57" s="3">
        <f>INDEX(rangeprovince, 329+population2value2+behaviour2value2, AN$94+cyclevalue-1)</f>
        <v>0</v>
      </c>
    </row>
    <row r="58" spans="2:29" s="12" customFormat="1" x14ac:dyDescent="0.3">
      <c r="B58" s="7"/>
      <c r="E58" s="22"/>
      <c r="F58" s="53"/>
      <c r="P58" s="26"/>
      <c r="AA58" s="3"/>
    </row>
    <row r="59" spans="2:29" s="12" customFormat="1" x14ac:dyDescent="0.3">
      <c r="B59" s="7"/>
      <c r="E59" s="22"/>
      <c r="F59" s="53"/>
      <c r="P59" s="26"/>
      <c r="AC59" s="3"/>
    </row>
    <row r="60" spans="2:29" s="12" customFormat="1" x14ac:dyDescent="0.3">
      <c r="B60" s="7"/>
      <c r="E60" s="22"/>
      <c r="F60" s="53"/>
      <c r="P60" s="26"/>
    </row>
    <row r="61" spans="2:29" s="12" customFormat="1" x14ac:dyDescent="0.3">
      <c r="B61" s="7"/>
      <c r="E61" s="22"/>
      <c r="F61" s="53"/>
      <c r="P61" s="26"/>
    </row>
    <row r="62" spans="2:29" s="12" customFormat="1" x14ac:dyDescent="0.3">
      <c r="B62" s="7"/>
      <c r="E62" s="22"/>
      <c r="F62" s="53"/>
      <c r="P62" s="26"/>
    </row>
    <row r="63" spans="2:29" s="12" customFormat="1" x14ac:dyDescent="0.3">
      <c r="B63" s="7"/>
      <c r="E63" s="22"/>
      <c r="F63" s="53"/>
      <c r="P63" s="26"/>
    </row>
    <row r="64" spans="2:29" s="12" customFormat="1" x14ac:dyDescent="0.3">
      <c r="B64" s="7"/>
      <c r="C64" s="12" t="s">
        <v>92</v>
      </c>
      <c r="D64" s="30"/>
      <c r="E64" s="43" t="s">
        <v>11</v>
      </c>
      <c r="F64" s="42" t="s">
        <v>81</v>
      </c>
      <c r="G64" s="42" t="s">
        <v>53</v>
      </c>
      <c r="H64" s="42" t="s">
        <v>61</v>
      </c>
      <c r="I64" s="42" t="s">
        <v>62</v>
      </c>
      <c r="J64" s="42" t="s">
        <v>82</v>
      </c>
      <c r="K64" s="42" t="s">
        <v>83</v>
      </c>
      <c r="L64" s="42" t="s">
        <v>98</v>
      </c>
      <c r="M64" s="42" t="s">
        <v>85</v>
      </c>
      <c r="N64" s="42" t="s">
        <v>86</v>
      </c>
      <c r="O64" s="42" t="s">
        <v>67</v>
      </c>
      <c r="P64" s="43" t="s">
        <v>158</v>
      </c>
      <c r="R64" s="42" t="s">
        <v>81</v>
      </c>
      <c r="S64" s="42" t="s">
        <v>53</v>
      </c>
      <c r="T64" s="42" t="s">
        <v>61</v>
      </c>
      <c r="U64" s="42" t="s">
        <v>62</v>
      </c>
      <c r="V64" s="42" t="s">
        <v>82</v>
      </c>
      <c r="W64" s="42" t="s">
        <v>83</v>
      </c>
      <c r="X64" s="42" t="s">
        <v>98</v>
      </c>
      <c r="Y64" s="42" t="s">
        <v>85</v>
      </c>
      <c r="Z64" s="42" t="s">
        <v>86</v>
      </c>
      <c r="AA64" s="42" t="s">
        <v>67</v>
      </c>
      <c r="AB64" s="43" t="s">
        <v>158</v>
      </c>
    </row>
    <row r="65" spans="2:28" s="40" customFormat="1" x14ac:dyDescent="0.3">
      <c r="B65" s="39"/>
      <c r="D65" s="41"/>
      <c r="E65" s="10" t="s">
        <v>7</v>
      </c>
      <c r="F65" s="2">
        <f>INDEX(rangeprovince, 1+population2value2+0, F$94+cyclevalue-1)</f>
        <v>58878</v>
      </c>
      <c r="G65" s="2">
        <f>INDEX(rangeprovince, 42+population2value2+0, F$94+cyclevalue-1)</f>
        <v>18343</v>
      </c>
      <c r="H65" s="2">
        <f>INDEX(rangeprovince, 83+population2value2+0, F$94+cyclevalue-1)</f>
        <v>122167</v>
      </c>
      <c r="I65" s="2">
        <f>INDEX(rangeprovince, 124+population2value2+0, F$94+cyclevalue-1)</f>
        <v>71410</v>
      </c>
      <c r="J65" s="2">
        <f>INDEX(rangeprovince, 165+population2value2+0, F$94+cyclevalue-1)</f>
        <v>1007100</v>
      </c>
      <c r="K65" s="2">
        <f>INDEX(rangeprovince, 206+population2value2+0, F$94+cyclevalue-1)</f>
        <v>1861128</v>
      </c>
      <c r="L65" s="2">
        <f>INDEX(rangeprovince, 247+population2value2+0, F$94+cyclevalue-1)</f>
        <v>168500</v>
      </c>
      <c r="M65" s="2">
        <f>INDEX(rangeprovince, 288+population2value2+0, F$94+cyclevalue-1)</f>
        <v>137910</v>
      </c>
      <c r="N65" s="2">
        <f>INDEX(rangeprovince, 329+population2value2+0, F$94+cyclevalue-1)</f>
        <v>583708</v>
      </c>
      <c r="O65" s="2">
        <f>INDEX(rangeprovince, 370+population2value2+0, F$94+cyclevalue-1)</f>
        <v>612558</v>
      </c>
      <c r="P65" s="2">
        <f>INDEX(rangeprovince, 411+population2value2+0, F$94+cyclevalue-1)</f>
        <v>4659974</v>
      </c>
      <c r="R65" s="3">
        <f>INDEX(rangeprovince, 1+population2value2+0, AM$94+cyclevalue-1)</f>
        <v>1</v>
      </c>
      <c r="S65" s="3">
        <f>INDEX(rangeprovince, 42+population2value2+0, AM$94+cyclevalue-1)</f>
        <v>1</v>
      </c>
      <c r="T65" s="3">
        <f>INDEX(rangeprovince, 83+population2value2+0, AM$94+cyclevalue-1)</f>
        <v>1</v>
      </c>
      <c r="U65" s="3">
        <f>INDEX(rangeprovince, 124+population2value2+0, AM$94+cyclevalue-1)</f>
        <v>1</v>
      </c>
      <c r="V65" s="3">
        <f>INDEX(rangeprovince, 165+population2value2+0, AM$94+cyclevalue-1)</f>
        <v>1</v>
      </c>
      <c r="W65" s="3">
        <f>INDEX(rangeprovince, 206+population2value2+0, AM$94+cyclevalue-1)</f>
        <v>1</v>
      </c>
      <c r="X65" s="3">
        <f>INDEX(rangeprovince, 247+population2value2+0, AM$94+cyclevalue-1)</f>
        <v>1</v>
      </c>
      <c r="Y65" s="3">
        <f>INDEX(rangeprovince, 288+population2value2+0, AM$94+cyclevalue-1)</f>
        <v>1</v>
      </c>
      <c r="Z65" s="3">
        <f>INDEX(rangeprovince, 329+population2value2+0, AM$94+cyclevalue-1)</f>
        <v>1</v>
      </c>
      <c r="AA65" s="3">
        <f>INDEX(rangeprovince, 370+population2value2+0, AM$94+cyclevalue-1)</f>
        <v>1</v>
      </c>
      <c r="AB65" s="3">
        <f>INDEX(rangeprovince, 411+population2value2+0, AM$94+cyclevalue-1)</f>
        <v>1</v>
      </c>
    </row>
    <row r="66" spans="2:28" s="40" customFormat="1" x14ac:dyDescent="0.3">
      <c r="B66" s="39"/>
      <c r="D66" s="41"/>
      <c r="E66" s="8" t="s">
        <v>9</v>
      </c>
      <c r="F66" s="2">
        <f>INDEX(rangeprovince, 1+1+population2value2+0, F$94+cyclevalue-1)</f>
        <v>14336</v>
      </c>
      <c r="G66" s="2">
        <f>INDEX(rangeprovince, 1+ 42+population2value2+0, F$94+cyclevalue-1)</f>
        <v>3217</v>
      </c>
      <c r="H66" s="2">
        <f>INDEX(rangeprovince, 1+83+population2value2+0, F$94+cyclevalue-1)</f>
        <v>24649</v>
      </c>
      <c r="I66" s="2">
        <f>INDEX(rangeprovince, 1+ 124+population2value2+0, F$94+cyclevalue-1)</f>
        <v>15449</v>
      </c>
      <c r="J66" s="2">
        <f>INDEX(rangeprovince, 1+ 165+population2value2+0, F$94+cyclevalue-1)</f>
        <v>237568</v>
      </c>
      <c r="K66" s="2">
        <f>INDEX(rangeprovince, 1+ 206+population2value2+0, F$94+cyclevalue-1)</f>
        <v>339366</v>
      </c>
      <c r="L66" s="2">
        <f>INDEX(rangeprovince, 1+247+population2value2+0, F$94+cyclevalue-1)</f>
        <v>35537</v>
      </c>
      <c r="M66" s="2">
        <f>INDEX(rangeprovince,1+ 288+population2value2+0, F$94+cyclevalue-1)</f>
        <v>36350</v>
      </c>
      <c r="N66" s="2">
        <f>INDEX(rangeprovince,1+ 329+population2value2+0, F$94+cyclevalue-1)</f>
        <v>126969</v>
      </c>
      <c r="O66" s="2">
        <f>INDEX(rangeprovince,1+ 370+population2value2+0, F$94+cyclevalue-1)</f>
        <v>103375</v>
      </c>
      <c r="P66" s="2">
        <f>INDEX(rangeprovince, 1+411+population2value2+0, F$94+cyclevalue-1)</f>
        <v>946848</v>
      </c>
      <c r="R66" s="3">
        <f>INDEX(rangeprovince, 1+1+population2value2+0, AM$94+cyclevalue-1)</f>
        <v>0.24348653147185706</v>
      </c>
      <c r="S66" s="3">
        <f>INDEX(rangeprovince, 1+ 42+population2value2+0, AM$94+cyclevalue-1)</f>
        <v>0.17538025404786567</v>
      </c>
      <c r="T66" s="3">
        <f>INDEX(rangeprovince, 1+83+population2value2+0, AM$94+cyclevalue-1)</f>
        <v>0.20176479736753788</v>
      </c>
      <c r="U66" s="3">
        <f>INDEX(rangeprovince, 1+ 124+population2value2+0, AM$94+cyclevalue-1)</f>
        <v>0.21634224898473603</v>
      </c>
      <c r="V66" s="3">
        <f>INDEX(rangeprovince, 1+ 165+population2value2+0, AM$94+cyclevalue-1)</f>
        <v>0.23589315857412371</v>
      </c>
      <c r="W66" s="3">
        <f>INDEX(rangeprovince, 1+ 206+population2value2+0, AM$94+cyclevalue-1)</f>
        <v>0.18234425574167923</v>
      </c>
      <c r="X66" s="3">
        <f>INDEX(rangeprovince, 1+247+population2value2+0, AM$94+cyclevalue-1)</f>
        <v>0.2109020771513353</v>
      </c>
      <c r="Y66" s="3">
        <f>INDEX(rangeprovince,1+ 288+population2value2+0, AM$94+cyclevalue-1)</f>
        <v>0.2635776955985788</v>
      </c>
      <c r="Z66" s="3">
        <f>INDEX(rangeprovince,1+ 329+population2value2+0, AM$94+cyclevalue-1)</f>
        <v>0.21752143194885115</v>
      </c>
      <c r="AA66" s="3">
        <f>INDEX(rangeprovince,1+ 370+population2value2+0, AM$94+cyclevalue-1)</f>
        <v>0.16875952970983973</v>
      </c>
      <c r="AB66" s="3">
        <f>INDEX(rangeprovince, 1+411+population2value2+0, AM$94+cyclevalue-1)</f>
        <v>0.20318739975802441</v>
      </c>
    </row>
    <row r="67" spans="2:28" s="40" customFormat="1" x14ac:dyDescent="0.3">
      <c r="B67" s="39"/>
      <c r="D67" s="41"/>
      <c r="E67" s="8" t="s">
        <v>41</v>
      </c>
      <c r="F67" s="2">
        <f>INDEX(rangeprovince, 2+1+population2value2+0, F$94+cyclevalue-1)</f>
        <v>7502</v>
      </c>
      <c r="G67" s="2" t="str">
        <f>INDEX(rangeprovince, 2+ 42+population2value2+0, F$94+cyclevalue-1)</f>
        <v>F</v>
      </c>
      <c r="H67" s="2">
        <f>INDEX(rangeprovince, 2+83+population2value2+0, F$94+cyclevalue-1)</f>
        <v>10612</v>
      </c>
      <c r="I67" s="2" t="str">
        <f>INDEX(rangeprovince, 2+ 124+population2value2+0, F$94+cyclevalue-1)</f>
        <v>F</v>
      </c>
      <c r="J67" s="2">
        <f>INDEX(rangeprovince, 2+ 165+population2value2+0, F$94+cyclevalue-1)</f>
        <v>103331</v>
      </c>
      <c r="K67" s="2">
        <f>INDEX(rangeprovince, 2+ 206+population2value2+0, F$94+cyclevalue-1)</f>
        <v>112821</v>
      </c>
      <c r="L67" s="2">
        <f>INDEX(rangeprovince, 2+247+population2value2+0, F$94+cyclevalue-1)</f>
        <v>15741</v>
      </c>
      <c r="M67" s="2">
        <f>INDEX(rangeprovince,2+ 288+population2value2+0, F$94+cyclevalue-1)</f>
        <v>10313</v>
      </c>
      <c r="N67" s="2">
        <f>INDEX(rangeprovince,2+ 329+population2value2+0, F$94+cyclevalue-1)</f>
        <v>53091</v>
      </c>
      <c r="O67" s="2">
        <f>INDEX(rangeprovince,2+ 370+population2value2+0, F$94+cyclevalue-1)</f>
        <v>53469</v>
      </c>
      <c r="P67" s="2">
        <f>INDEX(rangeprovince, 2+411+population2value2+0, F$94+cyclevalue-1)</f>
        <v>378731</v>
      </c>
      <c r="R67" s="3">
        <f>INDEX(rangeprovince, 2+1+population2value2+0, AM$94+cyclevalue-1)</f>
        <v>0.12741601277217296</v>
      </c>
      <c r="S67" s="3" t="e">
        <f>INDEX(rangeprovince, 2+ 42+population2value2+0, AM$94+cyclevalue-1)</f>
        <v>#VALUE!</v>
      </c>
      <c r="T67" s="3">
        <f>INDEX(rangeprovince, 2+83+population2value2+0, AM$94+cyclevalue-1)</f>
        <v>8.6864701596994276E-2</v>
      </c>
      <c r="U67" s="3" t="e">
        <f>INDEX(rangeprovince, 2+ 124+population2value2+0, AM$94+cyclevalue-1)</f>
        <v>#VALUE!</v>
      </c>
      <c r="V67" s="3">
        <f>INDEX(rangeprovince, 2+ 165+population2value2+0, AM$94+cyclevalue-1)</f>
        <v>0.10260252209313872</v>
      </c>
      <c r="W67" s="3">
        <f>INDEX(rangeprovince, 2+ 206+population2value2+0, AM$94+cyclevalue-1)</f>
        <v>6.0619688704914437E-2</v>
      </c>
      <c r="X67" s="3">
        <f>INDEX(rangeprovince, 2+247+population2value2+0, AM$94+cyclevalue-1)</f>
        <v>9.3418397626112759E-2</v>
      </c>
      <c r="Y67" s="3">
        <f>INDEX(rangeprovince,2+ 288+population2value2+0, AM$94+cyclevalue-1)</f>
        <v>7.4780654049742587E-2</v>
      </c>
      <c r="Z67" s="3">
        <f>INDEX(rangeprovince,2+ 329+population2value2+0, AM$94+cyclevalue-1)</f>
        <v>9.0954723937311119E-2</v>
      </c>
      <c r="AA67" s="3">
        <f>INDEX(rangeprovince,2+ 370+population2value2+0, AM$94+cyclevalue-1)</f>
        <v>8.7288060885663071E-2</v>
      </c>
      <c r="AB67" s="3">
        <f>INDEX(rangeprovince, 2+411+population2value2+0, AM$94+cyclevalue-1)</f>
        <v>8.1273200236739521E-2</v>
      </c>
    </row>
    <row r="68" spans="2:28" s="40" customFormat="1" x14ac:dyDescent="0.3">
      <c r="B68" s="39"/>
      <c r="D68" s="41"/>
      <c r="E68" s="8" t="s">
        <v>157</v>
      </c>
      <c r="F68" s="2">
        <f>INDEX(rangeprovince, 3+1+population2value2+0, F$94+cyclevalue-1)</f>
        <v>7646</v>
      </c>
      <c r="G68" s="2" t="str">
        <f>INDEX(rangeprovince, 3+ 42+population2value2+0, F$94+cyclevalue-1)</f>
        <v>F</v>
      </c>
      <c r="H68" s="2">
        <f>INDEX(rangeprovince, 3+83+population2value2+0, F$94+cyclevalue-1)</f>
        <v>21752</v>
      </c>
      <c r="I68" s="2">
        <f>INDEX(rangeprovince, 3+ 124+population2value2+0, F$94+cyclevalue-1)</f>
        <v>11734</v>
      </c>
      <c r="J68" s="2">
        <f>INDEX(rangeprovince, 3+ 165+population2value2+0, F$94+cyclevalue-1)</f>
        <v>156873</v>
      </c>
      <c r="K68" s="2">
        <f>INDEX(rangeprovince, 3+ 206+population2value2+0, F$94+cyclevalue-1)</f>
        <v>257511</v>
      </c>
      <c r="L68" s="2">
        <f>INDEX(rangeprovince, 3+247+population2value2+0, F$94+cyclevalue-1)</f>
        <v>21410</v>
      </c>
      <c r="M68" s="2">
        <f>INDEX(rangeprovince,3+ 288+population2value2+0, F$94+cyclevalue-1)</f>
        <v>21037</v>
      </c>
      <c r="N68" s="2">
        <f>INDEX(rangeprovince,3+ 329+population2value2+0, F$94+cyclevalue-1)</f>
        <v>88252</v>
      </c>
      <c r="O68" s="2">
        <f>INDEX(rangeprovince,3+ 370+population2value2+0, F$94+cyclevalue-1)</f>
        <v>84802</v>
      </c>
      <c r="P68" s="2">
        <f>INDEX(rangeprovince, 3+411+population2value2+0, F$94+cyclevalue-1)</f>
        <v>674989</v>
      </c>
      <c r="R68" s="3">
        <f>INDEX(rangeprovince, 3+1+population2value2+0, AM$94+cyclevalue-1)</f>
        <v>0.12986174802133224</v>
      </c>
      <c r="S68" s="3" t="e">
        <f>INDEX(rangeprovince, 3+ 42+population2value2+0, AM$94+cyclevalue-1)</f>
        <v>#VALUE!</v>
      </c>
      <c r="T68" s="3">
        <f>INDEX(rangeprovince, 3+83+population2value2+0, AM$94+cyclevalue-1)</f>
        <v>0.178051355930816</v>
      </c>
      <c r="U68" s="3">
        <f>INDEX(rangeprovince, 3+ 124+population2value2+0, AM$94+cyclevalue-1)</f>
        <v>0.16431872286794566</v>
      </c>
      <c r="V68" s="3">
        <f>INDEX(rangeprovince, 3+ 165+population2value2+0, AM$94+cyclevalue-1)</f>
        <v>0.15576705391718795</v>
      </c>
      <c r="W68" s="3">
        <f>INDEX(rangeprovince, 3+ 206+population2value2+0, AM$94+cyclevalue-1)</f>
        <v>0.13836286381162391</v>
      </c>
      <c r="X68" s="3">
        <f>INDEX(rangeprovince, 3+247+population2value2+0, AM$94+cyclevalue-1)</f>
        <v>0.12706231454005934</v>
      </c>
      <c r="Y68" s="3">
        <f>INDEX(rangeprovince,3+ 288+population2value2+0, AM$94+cyclevalue-1)</f>
        <v>0.15254151258066856</v>
      </c>
      <c r="Z68" s="3">
        <f>INDEX(rangeprovince,3+ 329+population2value2+0, AM$94+cyclevalue-1)</f>
        <v>0.15119203437335105</v>
      </c>
      <c r="AA68" s="3">
        <f>INDEX(rangeprovince,3+ 370+population2value2+0, AM$94+cyclevalue-1)</f>
        <v>0.13843913555940826</v>
      </c>
      <c r="AB68" s="3">
        <f>INDEX(rangeprovince, 3+411+population2value2+0, AM$94+cyclevalue-1)</f>
        <v>0.14484823305881106</v>
      </c>
    </row>
    <row r="69" spans="2:28" s="40" customFormat="1" x14ac:dyDescent="0.3">
      <c r="B69" s="39"/>
      <c r="D69" s="41"/>
      <c r="E69" s="8" t="s">
        <v>135</v>
      </c>
      <c r="F69" s="2">
        <f>INDEX(rangeprovince, 4+1+population2value2+0, F$94+cyclevalue-1)</f>
        <v>29394</v>
      </c>
      <c r="G69" s="2">
        <f>INDEX(rangeprovince, 4+ 42+population2value2+0, F$94+cyclevalue-1)</f>
        <v>10308</v>
      </c>
      <c r="H69" s="2">
        <f>INDEX(rangeprovince, 4+83+population2value2+0, F$94+cyclevalue-1)</f>
        <v>65154</v>
      </c>
      <c r="I69" s="2">
        <f>INDEX(rangeprovince, 4+ 124+population2value2+0, F$94+cyclevalue-1)</f>
        <v>36302</v>
      </c>
      <c r="J69" s="2">
        <f>INDEX(rangeprovince, 4+ 165+population2value2+0, F$94+cyclevalue-1)</f>
        <v>509328</v>
      </c>
      <c r="K69" s="2">
        <f>INDEX(rangeprovince, 4+ 206+population2value2+0, F$94+cyclevalue-1)</f>
        <v>1151430</v>
      </c>
      <c r="L69" s="2">
        <f>INDEX(rangeprovince, 4+247+population2value2+0, F$94+cyclevalue-1)</f>
        <v>95812</v>
      </c>
      <c r="M69" s="2">
        <f>INDEX(rangeprovince,4+ 288+population2value2+0, F$94+cyclevalue-1)</f>
        <v>70210</v>
      </c>
      <c r="N69" s="2">
        <f>INDEX(rangeprovince,4+ 329+population2value2+0, F$94+cyclevalue-1)</f>
        <v>315396</v>
      </c>
      <c r="O69" s="2">
        <f>INDEX(rangeprovince,4+ 370+population2value2+0, F$94+cyclevalue-1)</f>
        <v>370912</v>
      </c>
      <c r="P69" s="2">
        <f>INDEX(rangeprovince, 4+411+population2value2+0, F$94+cyclevalue-1)</f>
        <v>2659406</v>
      </c>
      <c r="R69" s="3">
        <f>INDEX(rangeprovince, 4+1+population2value2+0, AM$94+cyclevalue-1)</f>
        <v>0.49923570773463771</v>
      </c>
      <c r="S69" s="3">
        <f>INDEX(rangeprovince, 4+ 42+population2value2+0, AM$94+cyclevalue-1)</f>
        <v>0.56195824020062146</v>
      </c>
      <c r="T69" s="3">
        <f>INDEX(rangeprovince, 4+83+population2value2+0, AM$94+cyclevalue-1)</f>
        <v>0.53331914510465184</v>
      </c>
      <c r="U69" s="3">
        <f>INDEX(rangeprovince, 4+ 124+population2value2+0, AM$94+cyclevalue-1)</f>
        <v>0.50836017364514774</v>
      </c>
      <c r="V69" s="3">
        <f>INDEX(rangeprovince, 4+ 165+population2value2+0, AM$94+cyclevalue-1)</f>
        <v>0.50573726541554964</v>
      </c>
      <c r="W69" s="3">
        <f>INDEX(rangeprovince, 4+ 206+population2value2+0, AM$94+cyclevalue-1)</f>
        <v>0.61867319174178237</v>
      </c>
      <c r="X69" s="3">
        <f>INDEX(rangeprovince, 4+247+population2value2+0, AM$94+cyclevalue-1)</f>
        <v>0.5686172106824926</v>
      </c>
      <c r="Y69" s="3">
        <f>INDEX(rangeprovince,4+ 288+population2value2+0, AM$94+cyclevalue-1)</f>
        <v>0.50910013777101004</v>
      </c>
      <c r="Z69" s="3">
        <f>INDEX(rangeprovince,4+ 329+population2value2+0, AM$94+cyclevalue-1)</f>
        <v>0.54033180974048667</v>
      </c>
      <c r="AA69" s="3">
        <f>INDEX(rangeprovince,4+ 370+population2value2+0, AM$94+cyclevalue-1)</f>
        <v>0.60551327384508891</v>
      </c>
      <c r="AB69" s="3">
        <f>INDEX(rangeprovince, 4+411+population2value2+0, AM$94+cyclevalue-1)</f>
        <v>0.57069116694642508</v>
      </c>
    </row>
    <row r="70" spans="2:28" s="40" customFormat="1" x14ac:dyDescent="0.3">
      <c r="B70" s="39"/>
      <c r="D70" s="41"/>
      <c r="E70" s="8" t="s">
        <v>88</v>
      </c>
      <c r="F70" s="2">
        <f t="shared" ref="F70:P70" si="5">SUM(F66:F69)</f>
        <v>58878</v>
      </c>
      <c r="G70" s="2">
        <f t="shared" si="5"/>
        <v>13525</v>
      </c>
      <c r="H70" s="2">
        <f t="shared" si="5"/>
        <v>122167</v>
      </c>
      <c r="I70" s="2">
        <f t="shared" si="5"/>
        <v>63485</v>
      </c>
      <c r="J70" s="2">
        <f t="shared" si="5"/>
        <v>1007100</v>
      </c>
      <c r="K70" s="2">
        <f t="shared" si="5"/>
        <v>1861128</v>
      </c>
      <c r="L70" s="2">
        <f t="shared" si="5"/>
        <v>168500</v>
      </c>
      <c r="M70" s="2">
        <f t="shared" si="5"/>
        <v>137910</v>
      </c>
      <c r="N70" s="2">
        <f t="shared" si="5"/>
        <v>583708</v>
      </c>
      <c r="O70" s="2">
        <f t="shared" si="5"/>
        <v>612558</v>
      </c>
      <c r="P70" s="2">
        <f t="shared" si="5"/>
        <v>4659974</v>
      </c>
      <c r="R70" s="2">
        <f>SUM(R66:R69)</f>
        <v>1</v>
      </c>
      <c r="S70" s="2" t="e">
        <f>SUM(S66:S69)</f>
        <v>#VALUE!</v>
      </c>
      <c r="T70" s="3">
        <f t="shared" ref="T70:AB70" si="6">SUM(T66:T68)</f>
        <v>0.46668085489534816</v>
      </c>
      <c r="U70" s="3" t="e">
        <f t="shared" si="6"/>
        <v>#VALUE!</v>
      </c>
      <c r="V70" s="3">
        <f t="shared" si="6"/>
        <v>0.49426273458445036</v>
      </c>
      <c r="W70" s="3">
        <f t="shared" si="6"/>
        <v>0.38132680825821758</v>
      </c>
      <c r="X70" s="3">
        <f t="shared" si="6"/>
        <v>0.4313827893175074</v>
      </c>
      <c r="Y70" s="3">
        <f t="shared" si="6"/>
        <v>0.49089986222898996</v>
      </c>
      <c r="Z70" s="3">
        <f t="shared" si="6"/>
        <v>0.45966819025951333</v>
      </c>
      <c r="AA70" s="3">
        <f t="shared" si="6"/>
        <v>0.39448672615491109</v>
      </c>
      <c r="AB70" s="3">
        <f t="shared" si="6"/>
        <v>0.42930883305357498</v>
      </c>
    </row>
    <row r="71" spans="2:28" s="40" customFormat="1" x14ac:dyDescent="0.3">
      <c r="B71" s="39"/>
      <c r="D71" s="41"/>
      <c r="E71" s="12"/>
      <c r="F71" s="2"/>
      <c r="G71" s="2"/>
      <c r="H71" s="2"/>
      <c r="I71" s="2"/>
      <c r="J71" s="2"/>
      <c r="K71" s="2"/>
      <c r="L71" s="2"/>
      <c r="M71" s="2"/>
      <c r="N71" s="2"/>
      <c r="O71" s="2"/>
      <c r="P71" s="2"/>
      <c r="R71" s="3"/>
      <c r="S71" s="3"/>
      <c r="T71" s="3"/>
      <c r="U71" s="3"/>
      <c r="V71" s="3"/>
      <c r="W71" s="3"/>
      <c r="X71" s="3"/>
      <c r="Y71" s="3"/>
      <c r="Z71" s="3"/>
      <c r="AA71" s="3"/>
      <c r="AB71" s="3"/>
    </row>
    <row r="72" spans="2:28" s="40" customFormat="1" x14ac:dyDescent="0.3">
      <c r="B72" s="39"/>
      <c r="D72" s="41"/>
      <c r="E72" s="12"/>
      <c r="F72" s="2"/>
      <c r="G72" s="2"/>
      <c r="H72" s="2"/>
      <c r="I72" s="2"/>
      <c r="J72" s="2"/>
      <c r="K72" s="2"/>
      <c r="L72" s="2"/>
      <c r="M72" s="2"/>
      <c r="N72" s="2"/>
      <c r="O72" s="2"/>
      <c r="P72" s="2"/>
      <c r="R72" s="3"/>
      <c r="S72" s="3"/>
      <c r="T72" s="3"/>
      <c r="U72" s="3"/>
      <c r="V72" s="3"/>
      <c r="W72" s="3"/>
      <c r="X72" s="3"/>
      <c r="Y72" s="3"/>
      <c r="Z72" s="3"/>
      <c r="AA72" s="3"/>
      <c r="AB72" s="3"/>
    </row>
    <row r="73" spans="2:28" s="12" customFormat="1" x14ac:dyDescent="0.3">
      <c r="B73" s="7"/>
      <c r="C73" s="12" t="s">
        <v>92</v>
      </c>
      <c r="D73" s="30"/>
      <c r="E73" s="43" t="s">
        <v>93</v>
      </c>
      <c r="F73" s="42" t="s">
        <v>81</v>
      </c>
      <c r="G73" s="42" t="s">
        <v>53</v>
      </c>
      <c r="H73" s="42" t="s">
        <v>61</v>
      </c>
      <c r="I73" s="42" t="s">
        <v>62</v>
      </c>
      <c r="J73" s="42" t="s">
        <v>82</v>
      </c>
      <c r="K73" s="42" t="s">
        <v>83</v>
      </c>
      <c r="L73" s="42" t="s">
        <v>98</v>
      </c>
      <c r="M73" s="42" t="s">
        <v>85</v>
      </c>
      <c r="N73" s="42" t="s">
        <v>86</v>
      </c>
      <c r="O73" s="42" t="s">
        <v>67</v>
      </c>
      <c r="P73" s="43" t="s">
        <v>158</v>
      </c>
      <c r="R73" s="42" t="s">
        <v>81</v>
      </c>
      <c r="S73" s="42" t="s">
        <v>53</v>
      </c>
      <c r="T73" s="42" t="s">
        <v>61</v>
      </c>
      <c r="U73" s="42" t="s">
        <v>62</v>
      </c>
      <c r="V73" s="42" t="s">
        <v>82</v>
      </c>
      <c r="W73" s="42" t="s">
        <v>83</v>
      </c>
      <c r="X73" s="42" t="s">
        <v>98</v>
      </c>
      <c r="Y73" s="42" t="s">
        <v>85</v>
      </c>
      <c r="Z73" s="42" t="s">
        <v>86</v>
      </c>
      <c r="AA73" s="42" t="s">
        <v>67</v>
      </c>
      <c r="AB73" s="43" t="s">
        <v>158</v>
      </c>
    </row>
    <row r="74" spans="2:28" s="40" customFormat="1" x14ac:dyDescent="0.3">
      <c r="B74" s="39"/>
      <c r="D74" s="41"/>
      <c r="E74" s="10" t="s">
        <v>7</v>
      </c>
      <c r="F74" s="2">
        <f>INDEX(rangeprovince, 1+population2value2+0, AB$94+cyclevalue-1)</f>
        <v>2590.6320000000001</v>
      </c>
      <c r="G74" s="2">
        <f>INDEX(rangeprovince, 42+population2value2+0, AB$94+cyclevalue-1)</f>
        <v>843.77799999999991</v>
      </c>
      <c r="H74" s="2">
        <f>INDEX(rangeprovince, 83+population2value2+0, AB$94+cyclevalue-1)</f>
        <v>4398.0119999999997</v>
      </c>
      <c r="I74" s="2">
        <f>INDEX(rangeprovince, 124+population2value2+0, AB$94+cyclevalue-1)</f>
        <v>7569.46</v>
      </c>
      <c r="J74" s="2">
        <f>INDEX(rangeprovince, 165+population2value2+0, AB$94+cyclevalue-1)</f>
        <v>16113.6</v>
      </c>
      <c r="K74" s="2">
        <f>INDEX(rangeprovince, 206+population2value2+0, AB$94+cyclevalue-1)</f>
        <v>33500.303999999996</v>
      </c>
      <c r="L74" s="2">
        <f>INDEX(rangeprovince, 247+population2value2+0, AB$94+cyclevalue-1)</f>
        <v>5729</v>
      </c>
      <c r="M74" s="2">
        <f>INDEX(rangeprovince, 288+population2value2+0, AB$94+cyclevalue-1)</f>
        <v>4688.9399999999996</v>
      </c>
      <c r="N74" s="2">
        <f>INDEX(rangeprovince, 329+population2value2+0, AB$94+cyclevalue-1)</f>
        <v>10506.744000000001</v>
      </c>
      <c r="O74" s="2">
        <f>INDEX(rangeprovince, 370+population2value2+0, AB$94+cyclevalue-1)</f>
        <v>11026.044000000002</v>
      </c>
      <c r="P74" s="2">
        <f>INDEX(rangeprovince, 411+population2value2+0, AB$94+cyclevalue-1)</f>
        <v>46599.74</v>
      </c>
      <c r="R74" s="3">
        <f>INDEX(rangeprovince, 1+population2value2+0, AX$94+cyclevalue-1)</f>
        <v>4.4000000000000004E-2</v>
      </c>
      <c r="S74" s="3">
        <f>INDEX(rangeprovince, 42+population2value2+0, AX$94+cyclevalue-1)</f>
        <v>4.5999999999999999E-2</v>
      </c>
      <c r="T74" s="3">
        <f>INDEX(rangeprovince, 83+population2value2+0, AX$94+cyclevalue-1)</f>
        <v>3.6000000000000004E-2</v>
      </c>
      <c r="U74" s="3">
        <f>INDEX(rangeprovince, 124+population2value2+0, AX$94+cyclevalue-1)</f>
        <v>0.106</v>
      </c>
      <c r="V74" s="3">
        <f>INDEX(rangeprovince, 165+population2value2+0, AX$94+cyclevalue-1)</f>
        <v>1.6E-2</v>
      </c>
      <c r="W74" s="3">
        <f>INDEX(rangeprovince, 206+population2value2+0, AX$94+cyclevalue-1)</f>
        <v>1.8000000000000002E-2</v>
      </c>
      <c r="X74" s="3">
        <f>INDEX(rangeprovince, 247+population2value2+0, AX$94+cyclevalue-1)</f>
        <v>3.4000000000000002E-2</v>
      </c>
      <c r="Y74" s="3">
        <f>INDEX(rangeprovince, 288+population2value2+0, AX$94+cyclevalue-1)</f>
        <v>3.4000000000000002E-2</v>
      </c>
      <c r="Z74" s="3">
        <f>INDEX(rangeprovince, 329+population2value2+0, AX$94+cyclevalue-1)</f>
        <v>1.8000000000000002E-2</v>
      </c>
      <c r="AA74" s="3">
        <f>INDEX(rangeprovince, 370+population2value2+0, AX$94+cyclevalue-1)</f>
        <v>1.8000000000000002E-2</v>
      </c>
      <c r="AB74" s="3">
        <f>INDEX(rangeprovince, 411+population2value2+0, AX$94+cyclevalue-1)</f>
        <v>0.01</v>
      </c>
    </row>
    <row r="75" spans="2:28" s="40" customFormat="1" x14ac:dyDescent="0.3">
      <c r="B75" s="39"/>
      <c r="D75" s="41"/>
      <c r="E75" s="8" t="s">
        <v>9</v>
      </c>
      <c r="F75" s="2">
        <f>INDEX(rangeprovince, 1+1+population2value2+0, AB$94+cyclevalue-1)</f>
        <v>3555.328</v>
      </c>
      <c r="G75" s="2">
        <f>INDEX(rangeprovince, 1+ 42+population2value2+0, AB$94+cyclevalue-1)</f>
        <v>1068.0440000000001</v>
      </c>
      <c r="H75" s="2">
        <f>INDEX(rangeprovince, 1+83+population2value2+0, AB$94+cyclevalue-1)</f>
        <v>5077.6940000000004</v>
      </c>
      <c r="I75" s="2">
        <f>INDEX(rangeprovince, 1+ 124+population2value2+0, AB$94+cyclevalue-1)</f>
        <v>4387.5159999999996</v>
      </c>
      <c r="J75" s="2">
        <f>INDEX(rangeprovince, 1+ 165+population2value2+0, AB$94+cyclevalue-1)</f>
        <v>25182.207999999999</v>
      </c>
      <c r="K75" s="2">
        <f>INDEX(rangeprovince, 1+ 206+population2value2+0, AB$94+cyclevalue-1)</f>
        <v>38687.724000000002</v>
      </c>
      <c r="L75" s="2">
        <f>INDEX(rangeprovince, 1+247+population2value2+0, AB$94+cyclevalue-1)</f>
        <v>7178.4740000000002</v>
      </c>
      <c r="M75" s="2">
        <f>INDEX(rangeprovince,1+ 288+population2value2+0, AB$94+cyclevalue-1)</f>
        <v>7924.3</v>
      </c>
      <c r="N75" s="2">
        <f>INDEX(rangeprovince,1+ 329+population2value2+0, AB$94+cyclevalue-1)</f>
        <v>16252.032000000001</v>
      </c>
      <c r="O75" s="2">
        <f>INDEX(rangeprovince,1+ 370+population2value2+0, AB$94+cyclevalue-1)</f>
        <v>15506.25</v>
      </c>
      <c r="P75" s="2">
        <f>INDEX(rangeprovince, 1+411+population2value2+0, AB$94+cyclevalue-1)</f>
        <v>54917.183999999994</v>
      </c>
      <c r="R75" s="3">
        <f>INDEX(rangeprovince, 1+1+population2value2+0, AX$94+cyclevalue-1)</f>
        <v>6.038465980502055E-2</v>
      </c>
      <c r="S75" s="3">
        <f>INDEX(rangeprovince, 1+ 42+population2value2+0, AX$94+cyclevalue-1)</f>
        <v>5.8226244343891412E-2</v>
      </c>
      <c r="T75" s="3">
        <f>INDEX(rangeprovince, 1+83+population2value2+0, AX$94+cyclevalue-1)</f>
        <v>4.1563548257712808E-2</v>
      </c>
      <c r="U75" s="3">
        <f>INDEX(rangeprovince, 1+ 124+population2value2+0, AX$94+cyclevalue-1)</f>
        <v>6.1441198711665035E-2</v>
      </c>
      <c r="V75" s="3">
        <f>INDEX(rangeprovince, 1+ 165+population2value2+0, AX$94+cyclevalue-1)</f>
        <v>2.5004674808857111E-2</v>
      </c>
      <c r="W75" s="3">
        <f>INDEX(rangeprovince, 1+ 206+population2value2+0, AX$94+cyclevalue-1)</f>
        <v>2.0787245154551433E-2</v>
      </c>
      <c r="X75" s="3">
        <f>INDEX(rangeprovince, 1+247+population2value2+0, AX$94+cyclevalue-1)</f>
        <v>4.260221958456973E-2</v>
      </c>
      <c r="Y75" s="3">
        <f>INDEX(rangeprovince,1+ 288+population2value2+0, AX$94+cyclevalue-1)</f>
        <v>5.7459937640490184E-2</v>
      </c>
      <c r="Z75" s="3">
        <f>INDEX(rangeprovince,1+ 329+population2value2+0, AX$94+cyclevalue-1)</f>
        <v>2.7842743289452951E-2</v>
      </c>
      <c r="AA75" s="3">
        <f>INDEX(rangeprovince,1+ 370+population2value2+0, AX$94+cyclevalue-1)</f>
        <v>2.531392945647596E-2</v>
      </c>
      <c r="AB75" s="3">
        <f>INDEX(rangeprovince, 1+411+population2value2+0, AX$94+cyclevalue-1)</f>
        <v>1.1784869185965417E-2</v>
      </c>
    </row>
    <row r="76" spans="2:28" s="40" customFormat="1" x14ac:dyDescent="0.3">
      <c r="B76" s="39"/>
      <c r="D76" s="41"/>
      <c r="E76" s="8" t="s">
        <v>41</v>
      </c>
      <c r="F76" s="2">
        <f>INDEX(rangeprovince, 2+1+population2value2+0, AB$94+cyclevalue-1)</f>
        <v>2625.7</v>
      </c>
      <c r="G76" s="2" t="e">
        <f>INDEX(rangeprovince, 2+ 42+population2value2+0, AB$94+cyclevalue-1)</f>
        <v>#VALUE!</v>
      </c>
      <c r="H76" s="2">
        <f>INDEX(rangeprovince, 2+83+population2value2+0, AB$94+cyclevalue-1)</f>
        <v>3671.752</v>
      </c>
      <c r="I76" s="2" t="e">
        <f>INDEX(rangeprovince, 2+ 124+population2value2+0, AB$94+cyclevalue-1)</f>
        <v>#VALUE!</v>
      </c>
      <c r="J76" s="2">
        <f>INDEX(rangeprovince, 2+ 165+population2value2+0, AB$94+cyclevalue-1)</f>
        <v>16326.298000000001</v>
      </c>
      <c r="K76" s="2">
        <f>INDEX(rangeprovince, 2+ 206+population2value2+0, AB$94+cyclevalue-1)</f>
        <v>23692.41</v>
      </c>
      <c r="L76" s="2">
        <f>INDEX(rangeprovince, 2+247+population2value2+0, AB$94+cyclevalue-1)</f>
        <v>5320.4579999999996</v>
      </c>
      <c r="M76" s="2">
        <f>INDEX(rangeprovince,2+ 288+population2value2+0, AB$94+cyclevalue-1)</f>
        <v>4125.2</v>
      </c>
      <c r="N76" s="2">
        <f>INDEX(rangeprovince,2+ 329+population2value2+0, AB$94+cyclevalue-1)</f>
        <v>11786.201999999999</v>
      </c>
      <c r="O76" s="2">
        <f>INDEX(rangeprovince,2+ 370+population2value2+0, AB$94+cyclevalue-1)</f>
        <v>11977.055999999999</v>
      </c>
      <c r="P76" s="2">
        <f>INDEX(rangeprovince, 2+411+population2value2+0, AB$94+cyclevalue-1)</f>
        <v>35600.714</v>
      </c>
      <c r="R76" s="3">
        <f>INDEX(rangeprovince, 2+1+population2value2+0, AX$94+cyclevalue-1)</f>
        <v>4.4595604470260536E-2</v>
      </c>
      <c r="S76" s="3" t="e">
        <f>INDEX(rangeprovince, 2+ 42+population2value2+0, AX$94+cyclevalue-1)</f>
        <v>#VALUE!</v>
      </c>
      <c r="T76" s="3">
        <f>INDEX(rangeprovince, 2+83+population2value2+0, AX$94+cyclevalue-1)</f>
        <v>3.0055186752560022E-2</v>
      </c>
      <c r="U76" s="3" t="e">
        <f>INDEX(rangeprovince, 2+ 124+population2value2+0, AX$94+cyclevalue-1)</f>
        <v>#VALUE!</v>
      </c>
      <c r="V76" s="3">
        <f>INDEX(rangeprovince, 2+ 165+population2value2+0, AX$94+cyclevalue-1)</f>
        <v>1.6211198490715919E-2</v>
      </c>
      <c r="W76" s="3">
        <f>INDEX(rangeprovince, 2+ 206+population2value2+0, AX$94+cyclevalue-1)</f>
        <v>1.2730134628032033E-2</v>
      </c>
      <c r="X76" s="3">
        <f>INDEX(rangeprovince, 2+247+population2value2+0, AX$94+cyclevalue-1)</f>
        <v>3.1575418397626114E-2</v>
      </c>
      <c r="Y76" s="3">
        <f>INDEX(rangeprovince,2+ 288+population2value2+0, AX$94+cyclevalue-1)</f>
        <v>2.9912261619897035E-2</v>
      </c>
      <c r="Z76" s="3">
        <f>INDEX(rangeprovince,2+ 329+population2value2+0, AX$94+cyclevalue-1)</f>
        <v>2.0191948714083065E-2</v>
      </c>
      <c r="AA76" s="3">
        <f>INDEX(rangeprovince,2+ 370+population2value2+0, AX$94+cyclevalue-1)</f>
        <v>1.9552525638388527E-2</v>
      </c>
      <c r="AB76" s="3">
        <f>INDEX(rangeprovince, 2+411+population2value2+0, AX$94+cyclevalue-1)</f>
        <v>7.6396808222535147E-3</v>
      </c>
    </row>
    <row r="77" spans="2:28" s="40" customFormat="1" x14ac:dyDescent="0.3">
      <c r="B77" s="39"/>
      <c r="D77" s="41"/>
      <c r="E77" s="8" t="s">
        <v>157</v>
      </c>
      <c r="F77" s="2">
        <f>INDEX(rangeprovince, 3+1+population2value2+0, AB$94+cyclevalue-1)</f>
        <v>2676.1</v>
      </c>
      <c r="G77" s="2" t="e">
        <f>INDEX(rangeprovince, 3+ 42+population2value2+0, AB$94+cyclevalue-1)</f>
        <v>#VALUE!</v>
      </c>
      <c r="H77" s="2">
        <f>INDEX(rangeprovince, 3+83+population2value2+0, AB$94+cyclevalue-1)</f>
        <v>4915.9520000000002</v>
      </c>
      <c r="I77" s="2">
        <f>INDEX(rangeprovince, 3+ 124+population2value2+0, AB$94+cyclevalue-1)</f>
        <v>3731.4120000000003</v>
      </c>
      <c r="J77" s="2">
        <f>INDEX(rangeprovince, 3+ 165+population2value2+0, AB$94+cyclevalue-1)</f>
        <v>19765.998</v>
      </c>
      <c r="K77" s="2">
        <f>INDEX(rangeprovince, 3+ 206+population2value2+0, AB$94+cyclevalue-1)</f>
        <v>33476.43</v>
      </c>
      <c r="L77" s="2">
        <f>INDEX(rangeprovince, 3+247+population2value2+0, AB$94+cyclevalue-1)</f>
        <v>5737.88</v>
      </c>
      <c r="M77" s="2">
        <f>INDEX(rangeprovince,3+ 288+population2value2+0, AB$94+cyclevalue-1)</f>
        <v>5511.6940000000004</v>
      </c>
      <c r="N77" s="2">
        <f>INDEX(rangeprovince,3+ 329+population2value2+0, AB$94+cyclevalue-1)</f>
        <v>14296.823999999999</v>
      </c>
      <c r="O77" s="2">
        <f>INDEX(rangeprovince,3+ 370+population2value2+0, AB$94+cyclevalue-1)</f>
        <v>14585.944</v>
      </c>
      <c r="P77" s="2">
        <f>INDEX(rangeprovince, 3+411+population2value2+0, AB$94+cyclevalue-1)</f>
        <v>51299.163999999997</v>
      </c>
      <c r="R77" s="3">
        <f>INDEX(rangeprovince, 3+1+population2value2+0, AX$94+cyclevalue-1)</f>
        <v>4.5451611807466284E-2</v>
      </c>
      <c r="S77" s="3" t="e">
        <f>INDEX(rangeprovince, 3+ 42+population2value2+0, AX$94+cyclevalue-1)</f>
        <v>#VALUE!</v>
      </c>
      <c r="T77" s="3">
        <f>INDEX(rangeprovince, 3+83+population2value2+0, AX$94+cyclevalue-1)</f>
        <v>4.0239606440364416E-2</v>
      </c>
      <c r="U77" s="3">
        <f>INDEX(rangeprovince, 3+ 124+population2value2+0, AX$94+cyclevalue-1)</f>
        <v>5.2253353872006719E-2</v>
      </c>
      <c r="V77" s="3">
        <f>INDEX(rangeprovince, 3+ 165+population2value2+0, AX$94+cyclevalue-1)</f>
        <v>1.9626648793565682E-2</v>
      </c>
      <c r="W77" s="3">
        <f>INDEX(rangeprovince, 3+ 206+population2value2+0, AX$94+cyclevalue-1)</f>
        <v>1.7987172295511108E-2</v>
      </c>
      <c r="X77" s="3">
        <f>INDEX(rangeprovince, 3+247+population2value2+0, AX$94+cyclevalue-1)</f>
        <v>3.4052700296735905E-2</v>
      </c>
      <c r="Y77" s="3">
        <f>INDEX(rangeprovince,3+ 288+population2value2+0, AX$94+cyclevalue-1)</f>
        <v>3.9965876296135162E-2</v>
      </c>
      <c r="Z77" s="3">
        <f>INDEX(rangeprovince,3+ 329+population2value2+0, AX$94+cyclevalue-1)</f>
        <v>2.4493109568482871E-2</v>
      </c>
      <c r="AA77" s="3">
        <f>INDEX(rangeprovince,3+ 370+population2value2+0, AX$94+cyclevalue-1)</f>
        <v>2.3811531316218222E-2</v>
      </c>
      <c r="AB77" s="3">
        <f>INDEX(rangeprovince, 3+411+population2value2+0, AX$94+cyclevalue-1)</f>
        <v>1.1008465712469639E-2</v>
      </c>
    </row>
    <row r="78" spans="2:28" s="40" customFormat="1" x14ac:dyDescent="0.3">
      <c r="B78" s="39"/>
      <c r="D78" s="41"/>
      <c r="E78" s="8" t="s">
        <v>135</v>
      </c>
      <c r="F78" s="2">
        <f>INDEX(rangeprovince, 4+1+population2value2+0, AB$94+cyclevalue-1)</f>
        <v>3938.7960000000003</v>
      </c>
      <c r="G78" s="2">
        <f>INDEX(rangeprovince, 4+ 42+population2value2+0, AB$94+cyclevalue-1)</f>
        <v>1443.12</v>
      </c>
      <c r="H78" s="2">
        <f>INDEX(rangeprovince, 4+83+population2value2+0, AB$94+cyclevalue-1)</f>
        <v>8079.0959999999995</v>
      </c>
      <c r="I78" s="2">
        <f>INDEX(rangeprovince, 4+ 124+population2value2+0, AB$94+cyclevalue-1)</f>
        <v>4138.4279999999999</v>
      </c>
      <c r="J78" s="2">
        <f>INDEX(rangeprovince, 4+ 165+population2value2+0, AB$94+cyclevalue-1)</f>
        <v>26485.056</v>
      </c>
      <c r="K78" s="2">
        <f>INDEX(rangeprovince, 4+ 206+population2value2+0, AB$94+cyclevalue-1)</f>
        <v>55268.639999999999</v>
      </c>
      <c r="L78" s="2">
        <f>INDEX(rangeprovince, 4+247+population2value2+0, AB$94+cyclevalue-1)</f>
        <v>9389.5760000000009</v>
      </c>
      <c r="M78" s="2">
        <f>INDEX(rangeprovince,4+ 288+population2value2+0, AB$94+cyclevalue-1)</f>
        <v>7723.1</v>
      </c>
      <c r="N78" s="2">
        <f>INDEX(rangeprovince,4+ 329+population2value2+0, AB$94+cyclevalue-1)</f>
        <v>20816.135999999999</v>
      </c>
      <c r="O78" s="2">
        <f>INDEX(rangeprovince,4+ 370+population2value2+0, AB$94+cyclevalue-1)</f>
        <v>17803.775999999998</v>
      </c>
      <c r="P78" s="2">
        <f>INDEX(rangeprovince, 4+411+population2value2+0, AB$94+cyclevalue-1)</f>
        <v>63825.743999999992</v>
      </c>
      <c r="R78" s="3">
        <f>INDEX(rangeprovince, 4+1+population2value2+0, AX$94+cyclevalue-1)</f>
        <v>6.6897584836441454E-2</v>
      </c>
      <c r="S78" s="3">
        <f>INDEX(rangeprovince, 4+ 42+population2value2+0, AX$94+cyclevalue-1)</f>
        <v>7.867415362808701E-2</v>
      </c>
      <c r="T78" s="3">
        <f>INDEX(rangeprovince, 4+83+population2value2+0, AX$94+cyclevalue-1)</f>
        <v>6.6131573992976825E-2</v>
      </c>
      <c r="U78" s="3">
        <f>INDEX(rangeprovince, 4+ 124+population2value2+0, AX$94+cyclevalue-1)</f>
        <v>5.7953059795546845E-2</v>
      </c>
      <c r="V78" s="3">
        <f>INDEX(rangeprovince, 4+ 165+population2value2+0, AX$94+cyclevalue-1)</f>
        <v>2.6298337801608583E-2</v>
      </c>
      <c r="W78" s="3">
        <f>INDEX(rangeprovince, 4+ 206+population2value2+0, AX$94+cyclevalue-1)</f>
        <v>2.9696313203605551E-2</v>
      </c>
      <c r="X78" s="3">
        <f>INDEX(rangeprovince, 4+247+population2value2+0, AX$94+cyclevalue-1)</f>
        <v>5.5724486646884272E-2</v>
      </c>
      <c r="Y78" s="3">
        <f>INDEX(rangeprovince,4+ 288+population2value2+0, AX$94+cyclevalue-1)</f>
        <v>5.600101515481111E-2</v>
      </c>
      <c r="Z78" s="3">
        <f>INDEX(rangeprovince,4+ 329+population2value2+0, AX$94+cyclevalue-1)</f>
        <v>3.5661899442872118E-2</v>
      </c>
      <c r="AA78" s="3">
        <f>INDEX(rangeprovince,4+ 370+population2value2+0, AX$94+cyclevalue-1)</f>
        <v>2.9064637144564264E-2</v>
      </c>
      <c r="AB78" s="3">
        <f>INDEX(rangeprovince, 4+411+population2value2+0, AX$94+cyclevalue-1)</f>
        <v>1.3696588006714201E-2</v>
      </c>
    </row>
    <row r="79" spans="2:28" s="40" customFormat="1" x14ac:dyDescent="0.3">
      <c r="B79" s="39"/>
      <c r="D79" s="41"/>
      <c r="E79" s="8"/>
      <c r="F79" s="2"/>
      <c r="G79" s="2"/>
      <c r="H79" s="2"/>
      <c r="I79" s="2"/>
      <c r="J79" s="2"/>
      <c r="K79" s="2"/>
      <c r="L79" s="2"/>
      <c r="M79" s="2"/>
      <c r="N79" s="2"/>
      <c r="O79" s="2"/>
      <c r="P79" s="2"/>
      <c r="R79" s="3">
        <f t="shared" ref="R79:AB79" si="7">SUM(R75:R77)</f>
        <v>0.15043187608274738</v>
      </c>
      <c r="S79" s="3" t="e">
        <f t="shared" si="7"/>
        <v>#VALUE!</v>
      </c>
      <c r="T79" s="3">
        <f t="shared" si="7"/>
        <v>0.11185834145063725</v>
      </c>
      <c r="U79" s="3" t="e">
        <f t="shared" si="7"/>
        <v>#VALUE!</v>
      </c>
      <c r="V79" s="3">
        <f t="shared" si="7"/>
        <v>6.0842522093138715E-2</v>
      </c>
      <c r="W79" s="3">
        <f t="shared" si="7"/>
        <v>5.1504552078094581E-2</v>
      </c>
      <c r="X79" s="3">
        <f t="shared" si="7"/>
        <v>0.10823033827893175</v>
      </c>
      <c r="Y79" s="3">
        <f t="shared" si="7"/>
        <v>0.12733807555652238</v>
      </c>
      <c r="Z79" s="3">
        <f t="shared" si="7"/>
        <v>7.252780157201888E-2</v>
      </c>
      <c r="AA79" s="3">
        <f t="shared" si="7"/>
        <v>6.867798641108272E-2</v>
      </c>
      <c r="AB79" s="3">
        <f t="shared" si="7"/>
        <v>3.0433015720688572E-2</v>
      </c>
    </row>
    <row r="80" spans="2:28" s="40" customFormat="1" x14ac:dyDescent="0.3">
      <c r="B80" s="39"/>
      <c r="D80" s="41"/>
      <c r="E80" s="12"/>
      <c r="F80" s="2"/>
      <c r="G80" s="2"/>
      <c r="H80" s="2"/>
      <c r="I80" s="2"/>
      <c r="J80" s="2"/>
      <c r="K80" s="2"/>
      <c r="L80" s="2"/>
      <c r="M80" s="2"/>
      <c r="N80" s="2"/>
      <c r="O80" s="2"/>
      <c r="P80" s="2"/>
      <c r="R80" s="3"/>
      <c r="S80" s="3"/>
      <c r="T80" s="3"/>
      <c r="U80" s="3"/>
      <c r="V80" s="3"/>
      <c r="W80" s="3"/>
      <c r="X80" s="3"/>
      <c r="Y80" s="3"/>
      <c r="Z80" s="3"/>
      <c r="AA80" s="3"/>
      <c r="AB80" s="3"/>
    </row>
    <row r="81" spans="2:51" s="40" customFormat="1" x14ac:dyDescent="0.3">
      <c r="B81" s="39"/>
      <c r="D81" s="41"/>
      <c r="E81" s="12"/>
      <c r="F81" s="2"/>
      <c r="G81" s="2"/>
      <c r="H81" s="2"/>
      <c r="I81" s="2"/>
      <c r="J81" s="2"/>
      <c r="K81" s="2"/>
      <c r="L81" s="2"/>
      <c r="M81" s="2"/>
      <c r="N81" s="2"/>
      <c r="O81" s="2"/>
      <c r="P81" s="2"/>
      <c r="R81" s="3"/>
      <c r="S81" s="3"/>
      <c r="T81" s="3"/>
      <c r="U81" s="3"/>
      <c r="V81" s="3"/>
      <c r="W81" s="3"/>
      <c r="X81" s="3"/>
      <c r="Y81" s="3"/>
      <c r="Z81" s="3"/>
      <c r="AA81" s="3"/>
      <c r="AB81" s="3"/>
    </row>
    <row r="82" spans="2:51" s="12" customFormat="1" x14ac:dyDescent="0.3">
      <c r="B82" s="7"/>
      <c r="C82" s="12" t="s">
        <v>92</v>
      </c>
      <c r="D82" s="30"/>
      <c r="E82" s="43" t="s">
        <v>59</v>
      </c>
      <c r="F82" s="42" t="s">
        <v>81</v>
      </c>
      <c r="G82" s="42" t="s">
        <v>53</v>
      </c>
      <c r="H82" s="42" t="s">
        <v>61</v>
      </c>
      <c r="I82" s="42" t="s">
        <v>62</v>
      </c>
      <c r="J82" s="42" t="s">
        <v>82</v>
      </c>
      <c r="K82" s="42" t="s">
        <v>83</v>
      </c>
      <c r="L82" s="42" t="s">
        <v>98</v>
      </c>
      <c r="M82" s="42" t="s">
        <v>85</v>
      </c>
      <c r="N82" s="42" t="s">
        <v>86</v>
      </c>
      <c r="O82" s="42" t="s">
        <v>67</v>
      </c>
      <c r="P82" s="43" t="s">
        <v>158</v>
      </c>
      <c r="R82" s="42" t="s">
        <v>81</v>
      </c>
      <c r="S82" s="42" t="s">
        <v>53</v>
      </c>
      <c r="T82" s="42" t="s">
        <v>61</v>
      </c>
      <c r="U82" s="42" t="s">
        <v>62</v>
      </c>
      <c r="V82" s="42" t="s">
        <v>82</v>
      </c>
      <c r="W82" s="42" t="s">
        <v>83</v>
      </c>
      <c r="X82" s="42" t="s">
        <v>98</v>
      </c>
      <c r="Y82" s="42" t="s">
        <v>85</v>
      </c>
      <c r="Z82" s="42" t="s">
        <v>86</v>
      </c>
      <c r="AA82" s="42" t="s">
        <v>67</v>
      </c>
      <c r="AB82" s="43" t="s">
        <v>158</v>
      </c>
    </row>
    <row r="83" spans="2:51" s="40" customFormat="1" x14ac:dyDescent="0.3">
      <c r="B83" s="39"/>
      <c r="D83" s="41"/>
      <c r="E83" s="10" t="s">
        <v>7</v>
      </c>
      <c r="F83" s="90">
        <f>INDEX(rangeprovince, 1+population2value2+0, Q$94+cyclevalue-1)</f>
        <v>2.2000000000000002</v>
      </c>
      <c r="G83" s="90">
        <f>INDEX(rangeprovince, 42+population2value2+0, Q$94+cyclevalue-1)</f>
        <v>2.2999999999999998</v>
      </c>
      <c r="H83" s="90">
        <f>INDEX(rangeprovince, 83+population2value2+0, Q$94+cyclevalue-1)</f>
        <v>1.8</v>
      </c>
      <c r="I83" s="90">
        <f>INDEX(rangeprovince, 124+population2value2+0, Q$94+cyclevalue-1)</f>
        <v>5.3</v>
      </c>
      <c r="J83" s="90">
        <f>INDEX(rangeprovince, 165+population2value2+0, Q$94+cyclevalue-1)</f>
        <v>0.8</v>
      </c>
      <c r="K83" s="90">
        <f>INDEX(rangeprovince, 206+population2value2+0, Q$94+cyclevalue-1)</f>
        <v>0.9</v>
      </c>
      <c r="L83" s="90">
        <f>INDEX(rangeprovince, 247+population2value2+0, Q$94+cyclevalue-1)</f>
        <v>1.7</v>
      </c>
      <c r="M83" s="90">
        <f>INDEX(rangeprovince, 288+population2value2+0, Q$94+cyclevalue-1)</f>
        <v>1.7</v>
      </c>
      <c r="N83" s="90">
        <f>INDEX(rangeprovince, 329+population2value2+0, Q$94+cyclevalue-1)</f>
        <v>0.9</v>
      </c>
      <c r="O83" s="90">
        <f>INDEX(rangeprovince, 370+population2value2+0, Q$94+cyclevalue-1)</f>
        <v>0.9</v>
      </c>
      <c r="P83" s="90">
        <f>INDEX(rangeprovince, 411+population2value2+0, Q$94+cyclevalue-1)</f>
        <v>0.5</v>
      </c>
      <c r="R83" s="90">
        <f>INDEX(rangeprovince, 1+population2value2+0, Q$94+cyclevalue-1)</f>
        <v>2.2000000000000002</v>
      </c>
      <c r="S83" s="90">
        <f>INDEX(rangeprovince, 42+population2value2+0, Q$94+cyclevalue-1)</f>
        <v>2.2999999999999998</v>
      </c>
      <c r="T83" s="90">
        <f>INDEX(rangeprovince, 83+population2value2+0, Q$94+cyclevalue-1)</f>
        <v>1.8</v>
      </c>
      <c r="U83" s="90">
        <f>INDEX(rangeprovince, 124+population2value2+0, Q$94+cyclevalue-1)</f>
        <v>5.3</v>
      </c>
      <c r="V83" s="90">
        <f>INDEX(rangeprovince, 165+population2value2+0, Q$94+cyclevalue-1)</f>
        <v>0.8</v>
      </c>
      <c r="W83" s="90">
        <f>INDEX(rangeprovince, 206+population2value2+0, Q$94+cyclevalue-1)</f>
        <v>0.9</v>
      </c>
      <c r="X83" s="90">
        <f>INDEX(rangeprovince, 247+population2value2+0, Q$94+cyclevalue-1)</f>
        <v>1.7</v>
      </c>
      <c r="Y83" s="90">
        <f>INDEX(rangeprovince, 288+population2value2+0, Q$94+cyclevalue-1)</f>
        <v>1.7</v>
      </c>
      <c r="Z83" s="90">
        <f>INDEX(rangeprovince, 329+population2value2+0, Q$94+cyclevalue-1)</f>
        <v>0.9</v>
      </c>
      <c r="AA83" s="90">
        <f>INDEX(rangeprovince, 370+population2value2+0, Q$94+cyclevalue-1)</f>
        <v>0.9</v>
      </c>
      <c r="AB83" s="90">
        <f>INDEX(rangeprovince, 411+population2value2+0, Q$94+cyclevalue-1)</f>
        <v>0.5</v>
      </c>
    </row>
    <row r="84" spans="2:51" s="40" customFormat="1" x14ac:dyDescent="0.3">
      <c r="B84" s="39"/>
      <c r="D84" s="41"/>
      <c r="E84" s="8" t="s">
        <v>9</v>
      </c>
      <c r="F84" s="90">
        <f>INDEX(rangeprovince, 1+1+population2value2+0, Q$94+cyclevalue-1)</f>
        <v>12.4</v>
      </c>
      <c r="G84" s="90">
        <f>INDEX(rangeprovince, 1+ 42+population2value2+0, Q$94+cyclevalue-1)</f>
        <v>16.600000000000001</v>
      </c>
      <c r="H84" s="90">
        <f>INDEX(rangeprovince, 1+83+population2value2+0, Q$94+cyclevalue-1)</f>
        <v>10.3</v>
      </c>
      <c r="I84" s="90">
        <f>INDEX(rangeprovince, 1+ 124+population2value2+0, Q$94+cyclevalue-1)</f>
        <v>14.2</v>
      </c>
      <c r="J84" s="90">
        <f>INDEX(rangeprovince, 1+ 165+population2value2+0, Q$94+cyclevalue-1)</f>
        <v>5.3</v>
      </c>
      <c r="K84" s="90">
        <f>INDEX(rangeprovince, 1+ 206+population2value2+0, Q$94+cyclevalue-1)</f>
        <v>5.7</v>
      </c>
      <c r="L84" s="90">
        <f>INDEX(rangeprovince, 1+247+population2value2+0, Q$94+cyclevalue-1)</f>
        <v>10.1</v>
      </c>
      <c r="M84" s="90">
        <f>INDEX(rangeprovince,1+ 288+population2value2+0, Q$94+cyclevalue-1)</f>
        <v>10.9</v>
      </c>
      <c r="N84" s="90">
        <f>INDEX(rangeprovince,1+ 329+population2value2+0, Q$94+cyclevalue-1)</f>
        <v>6.4</v>
      </c>
      <c r="O84" s="90">
        <f>INDEX(rangeprovince,1+ 370+population2value2+0, Q$94+cyclevalue-1)</f>
        <v>7.5</v>
      </c>
      <c r="P84" s="90">
        <f>INDEX(rangeprovince, 1+411+population2value2+0, Q$94+cyclevalue-1)</f>
        <v>2.9</v>
      </c>
      <c r="R84" s="90">
        <f>INDEX(rangeprovince, 1+1+population2value2+0, Q$94+cyclevalue-1)</f>
        <v>12.4</v>
      </c>
      <c r="S84" s="90">
        <f>INDEX(rangeprovince, 1+ 42+population2value2+0, Q$94+cyclevalue-1)</f>
        <v>16.600000000000001</v>
      </c>
      <c r="T84" s="90">
        <f>INDEX(rangeprovince, 1+83+population2value2+0, Q$94+cyclevalue-1)</f>
        <v>10.3</v>
      </c>
      <c r="U84" s="90">
        <f>INDEX(rangeprovince, 1+ 124+population2value2+0, Q$94+cyclevalue-1)</f>
        <v>14.2</v>
      </c>
      <c r="V84" s="90">
        <f>INDEX(rangeprovince, 1+ 165+population2value2+0, Q$94+cyclevalue-1)</f>
        <v>5.3</v>
      </c>
      <c r="W84" s="90">
        <f>INDEX(rangeprovince, 1+ 206+population2value2+0, Q$94+cyclevalue-1)</f>
        <v>5.7</v>
      </c>
      <c r="X84" s="90">
        <f>INDEX(rangeprovince, 1+247+population2value2+0, Q$94+cyclevalue-1)</f>
        <v>10.1</v>
      </c>
      <c r="Y84" s="90">
        <f>INDEX(rangeprovince,1+ 288+population2value2+0, Q$94+cyclevalue-1)</f>
        <v>10.9</v>
      </c>
      <c r="Z84" s="90">
        <f>INDEX(rangeprovince,1+ 329+population2value2+0, Q$94+cyclevalue-1)</f>
        <v>6.4</v>
      </c>
      <c r="AA84" s="90">
        <f>INDEX(rangeprovince,1+ 370+population2value2+0, Q$94+cyclevalue-1)</f>
        <v>7.5</v>
      </c>
      <c r="AB84" s="90">
        <f>INDEX(rangeprovince, 1+411+population2value2+0, Q$94+cyclevalue-1)</f>
        <v>2.9</v>
      </c>
    </row>
    <row r="85" spans="2:51" s="40" customFormat="1" x14ac:dyDescent="0.3">
      <c r="B85" s="39"/>
      <c r="D85" s="41"/>
      <c r="E85" s="8" t="s">
        <v>116</v>
      </c>
      <c r="F85" s="90">
        <f>INDEX(rangeprovince, 2+1+population2value2+0, Q$94+cyclevalue-1)</f>
        <v>17.5</v>
      </c>
      <c r="G85" s="90" t="str">
        <f>INDEX(rangeprovince, 2+ 42+population2value2+0, Q$94+cyclevalue-1)</f>
        <v>F</v>
      </c>
      <c r="H85" s="90">
        <f>INDEX(rangeprovince, 2+83+population2value2+0, Q$94+cyclevalue-1)</f>
        <v>17.3</v>
      </c>
      <c r="I85" s="90">
        <f>INDEX(rangeprovince, 2+ 124+population2value2+0, Q$94+cyclevalue-1)</f>
        <v>0</v>
      </c>
      <c r="J85" s="90">
        <f>INDEX(rangeprovince, 2+ 165+population2value2+0, Q$94+cyclevalue-1)</f>
        <v>7.9</v>
      </c>
      <c r="K85" s="90">
        <f>INDEX(rangeprovince, 2+ 206+population2value2+0, Q$94+cyclevalue-1)</f>
        <v>10.5</v>
      </c>
      <c r="L85" s="90">
        <f>INDEX(rangeprovince, 2+247+population2value2+0, Q$94+cyclevalue-1)</f>
        <v>16.899999999999999</v>
      </c>
      <c r="M85" s="90">
        <f>INDEX(rangeprovince,2+ 288+population2value2+0, Q$94+cyclevalue-1)</f>
        <v>20</v>
      </c>
      <c r="N85" s="90">
        <f>INDEX(rangeprovince,2+ 329+population2value2+0, Q$94+cyclevalue-1)</f>
        <v>11.1</v>
      </c>
      <c r="O85" s="90">
        <f>INDEX(rangeprovince,2+ 370+population2value2+0, Q$94+cyclevalue-1)</f>
        <v>11.2</v>
      </c>
      <c r="P85" s="90">
        <f>INDEX(rangeprovince, 2+411+population2value2+0, Q$94+cyclevalue-1)</f>
        <v>4.7</v>
      </c>
      <c r="R85" s="90">
        <f>INDEX(rangeprovince, 2+1+population2value2+0, Q$94+cyclevalue-1)</f>
        <v>17.5</v>
      </c>
      <c r="S85" s="90" t="str">
        <f>INDEX(rangeprovince, 2+ 42+population2value2+0, Q$94+cyclevalue-1)</f>
        <v>F</v>
      </c>
      <c r="T85" s="90">
        <f>INDEX(rangeprovince, 2+83+population2value2+0, Q$94+cyclevalue-1)</f>
        <v>17.3</v>
      </c>
      <c r="U85" s="90">
        <f>INDEX(rangeprovince, 2+ 124+population2value2+0, Q$94+cyclevalue-1)</f>
        <v>0</v>
      </c>
      <c r="V85" s="90">
        <f>INDEX(rangeprovince, 2+ 165+population2value2+0, Q$94+cyclevalue-1)</f>
        <v>7.9</v>
      </c>
      <c r="W85" s="90">
        <f>INDEX(rangeprovince, 2+ 206+population2value2+0, Q$94+cyclevalue-1)</f>
        <v>10.5</v>
      </c>
      <c r="X85" s="90">
        <f>INDEX(rangeprovince, 2+247+population2value2+0, Q$94+cyclevalue-1)</f>
        <v>16.899999999999999</v>
      </c>
      <c r="Y85" s="90">
        <f>INDEX(rangeprovince,2+ 288+population2value2+0, Q$94+cyclevalue-1)</f>
        <v>20</v>
      </c>
      <c r="Z85" s="90">
        <f>INDEX(rangeprovince,2+ 329+population2value2+0, Q$94+cyclevalue-1)</f>
        <v>11.1</v>
      </c>
      <c r="AA85" s="90">
        <f>INDEX(rangeprovince,2+ 370+population2value2+0, Q$94+cyclevalue-1)</f>
        <v>11.2</v>
      </c>
      <c r="AB85" s="90">
        <f>INDEX(rangeprovince, 2+411+population2value2+0, Q$94+cyclevalue-1)</f>
        <v>4.7</v>
      </c>
    </row>
    <row r="86" spans="2:51" s="40" customFormat="1" x14ac:dyDescent="0.3">
      <c r="B86" s="39"/>
      <c r="D86" s="41"/>
      <c r="E86" s="8" t="s">
        <v>10</v>
      </c>
      <c r="F86" s="90">
        <f>INDEX(rangeprovince, 3+1+population2value2+0, Q$94+cyclevalue-1)</f>
        <v>17.5</v>
      </c>
      <c r="G86" s="90" t="str">
        <f>INDEX(rangeprovince, 3+ 42+population2value2+0, Q$94+cyclevalue-1)</f>
        <v>F</v>
      </c>
      <c r="H86" s="90">
        <f>INDEX(rangeprovince, 3+83+population2value2+0, Q$94+cyclevalue-1)</f>
        <v>11.3</v>
      </c>
      <c r="I86" s="90">
        <f>INDEX(rangeprovince, 3+ 124+population2value2+0, Q$94+cyclevalue-1)</f>
        <v>15.9</v>
      </c>
      <c r="J86" s="90">
        <f>INDEX(rangeprovince, 3+ 165+population2value2+0, Q$94+cyclevalue-1)</f>
        <v>6.3</v>
      </c>
      <c r="K86" s="90">
        <f>INDEX(rangeprovince, 3+ 206+population2value2+0, Q$94+cyclevalue-1)</f>
        <v>6.5</v>
      </c>
      <c r="L86" s="90">
        <f>INDEX(rangeprovince, 3+247+population2value2+0, Q$94+cyclevalue-1)</f>
        <v>13.4</v>
      </c>
      <c r="M86" s="90">
        <f>INDEX(rangeprovince,3+ 288+population2value2+0, Q$94+cyclevalue-1)</f>
        <v>13.1</v>
      </c>
      <c r="N86" s="90">
        <f>INDEX(rangeprovince,3+ 329+population2value2+0, Q$94+cyclevalue-1)</f>
        <v>8.1</v>
      </c>
      <c r="O86" s="90">
        <f>INDEX(rangeprovince,3+ 370+population2value2+0, Q$94+cyclevalue-1)</f>
        <v>8.6</v>
      </c>
      <c r="P86" s="90">
        <f>INDEX(rangeprovince, 3+411+population2value2+0, Q$94+cyclevalue-1)</f>
        <v>3.8</v>
      </c>
      <c r="R86" s="90">
        <f>INDEX(rangeprovince, 3+1+population2value2+0, Q$94+cyclevalue-1)</f>
        <v>17.5</v>
      </c>
      <c r="S86" s="90" t="str">
        <f>INDEX(rangeprovince, 3+ 42+population2value2+0, Q$94+cyclevalue-1)</f>
        <v>F</v>
      </c>
      <c r="T86" s="90">
        <f>INDEX(rangeprovince, 3+83+population2value2+0, Q$94+cyclevalue-1)</f>
        <v>11.3</v>
      </c>
      <c r="U86" s="90">
        <f>INDEX(rangeprovince, 3+ 124+population2value2+0, Q$94+cyclevalue-1)</f>
        <v>15.9</v>
      </c>
      <c r="V86" s="90">
        <f>INDEX(rangeprovince, 3+ 165+population2value2+0, Q$94+cyclevalue-1)</f>
        <v>6.3</v>
      </c>
      <c r="W86" s="90">
        <f>INDEX(rangeprovince, 3+ 206+population2value2+0, Q$94+cyclevalue-1)</f>
        <v>6.5</v>
      </c>
      <c r="X86" s="90">
        <f>INDEX(rangeprovince, 3+247+population2value2+0, Q$94+cyclevalue-1)</f>
        <v>13.4</v>
      </c>
      <c r="Y86" s="90">
        <f>INDEX(rangeprovince,3+ 288+population2value2+0, Q$94+cyclevalue-1)</f>
        <v>13.1</v>
      </c>
      <c r="Z86" s="90">
        <f>INDEX(rangeprovince,3+ 329+population2value2+0, Q$94+cyclevalue-1)</f>
        <v>8.1</v>
      </c>
      <c r="AA86" s="90">
        <f>INDEX(rangeprovince,3+ 370+population2value2+0, Q$94+cyclevalue-1)</f>
        <v>8.6</v>
      </c>
      <c r="AB86" s="90">
        <f>INDEX(rangeprovince, 3+411+population2value2+0, Q$94+cyclevalue-1)</f>
        <v>3.8</v>
      </c>
    </row>
    <row r="87" spans="2:51" s="40" customFormat="1" x14ac:dyDescent="0.3">
      <c r="B87" s="39"/>
      <c r="D87" s="41"/>
      <c r="E87" s="8" t="s">
        <v>6</v>
      </c>
      <c r="F87" s="2">
        <f>INDEX(rangeprovince, 4+1+population2value2+0, Q$94+cyclevalue-1)</f>
        <v>6.7</v>
      </c>
      <c r="G87" s="2">
        <f>INDEX(rangeprovince, 4+ 42+population2value2+0, Q$94+cyclevalue-1)</f>
        <v>7</v>
      </c>
      <c r="H87" s="2">
        <f>INDEX(rangeprovince, 4+83+population2value2+0, Q$94+cyclevalue-1)</f>
        <v>6.2</v>
      </c>
      <c r="I87" s="2">
        <f>INDEX(rangeprovince, 4+ 124+population2value2+0, Q$94+cyclevalue-1)</f>
        <v>5.7</v>
      </c>
      <c r="J87" s="2">
        <f>INDEX(rangeprovince, 4+ 165+population2value2+0, Q$94+cyclevalue-1)</f>
        <v>2.6</v>
      </c>
      <c r="K87" s="2">
        <f>INDEX(rangeprovince, 4+ 206+population2value2+0, Q$94+cyclevalue-1)</f>
        <v>2.4</v>
      </c>
      <c r="L87" s="2">
        <f>INDEX(rangeprovince, 4+247+population2value2+0, Q$94+cyclevalue-1)</f>
        <v>4.9000000000000004</v>
      </c>
      <c r="M87" s="2">
        <f>INDEX(rangeprovince,4+ 288+population2value2+0, Q$94+cyclevalue-1)</f>
        <v>5.5</v>
      </c>
      <c r="N87" s="2">
        <f>INDEX(rangeprovince,4+ 329+population2value2+0, Q$94+cyclevalue-1)</f>
        <v>3.3</v>
      </c>
      <c r="O87" s="2">
        <f>INDEX(rangeprovince,4+ 370+population2value2+0, Q$94+cyclevalue-1)</f>
        <v>2.4</v>
      </c>
      <c r="P87" s="2">
        <f>INDEX(rangeprovince, 4+411+population2value2+0, Q$94+cyclevalue-1)</f>
        <v>1.2</v>
      </c>
      <c r="R87" s="90">
        <f>INDEX(rangeprovince, 4+1+population2value2+0, Q$94+cyclevalue-1)</f>
        <v>6.7</v>
      </c>
      <c r="S87" s="90">
        <f>INDEX(rangeprovince, 4+ 42+population2value2+0, Q$94+cyclevalue-1)</f>
        <v>7</v>
      </c>
      <c r="T87" s="90">
        <f>INDEX(rangeprovince, 4+83+population2value2+0, Q$94+cyclevalue-1)</f>
        <v>6.2</v>
      </c>
      <c r="U87" s="90">
        <f>INDEX(rangeprovince, 4+ 124+population2value2+0, Q$94+cyclevalue-1)</f>
        <v>5.7</v>
      </c>
      <c r="V87" s="90">
        <f>INDEX(rangeprovince, 4+ 165+population2value2+0, Q$94+cyclevalue-1)</f>
        <v>2.6</v>
      </c>
      <c r="W87" s="90">
        <f>INDEX(rangeprovince, 4+ 206+population2value2+0, Q$94+cyclevalue-1)</f>
        <v>2.4</v>
      </c>
      <c r="X87" s="90">
        <f>INDEX(rangeprovince, 4+247+population2value2+0, Q$94+cyclevalue-1)</f>
        <v>4.9000000000000004</v>
      </c>
      <c r="Y87" s="90">
        <f>INDEX(rangeprovince,4+ 288+population2value2+0, Q$94+cyclevalue-1)</f>
        <v>5.5</v>
      </c>
      <c r="Z87" s="90">
        <f>INDEX(rangeprovince,4+ 329+population2value2+0, Q$94+cyclevalue-1)</f>
        <v>3.3</v>
      </c>
      <c r="AA87" s="90">
        <f>INDEX(rangeprovince,4+ 370+population2value2+0, Q$94+cyclevalue-1)</f>
        <v>2.4</v>
      </c>
      <c r="AB87" s="90">
        <f>INDEX(rangeprovince, 4+411+population2value2+0, Q$94+cyclevalue-1)</f>
        <v>1.2</v>
      </c>
    </row>
    <row r="88" spans="2:51" s="40" customFormat="1" x14ac:dyDescent="0.3">
      <c r="B88" s="39"/>
      <c r="D88" s="41"/>
      <c r="E88" s="8" t="s">
        <v>88</v>
      </c>
      <c r="F88" s="90">
        <f t="shared" ref="F88:P88" si="8">SUM(F84:F86)</f>
        <v>47.4</v>
      </c>
      <c r="G88" s="90">
        <f t="shared" si="8"/>
        <v>16.600000000000001</v>
      </c>
      <c r="H88" s="90">
        <f t="shared" si="8"/>
        <v>38.900000000000006</v>
      </c>
      <c r="I88" s="90">
        <f t="shared" si="8"/>
        <v>30.1</v>
      </c>
      <c r="J88" s="90">
        <f t="shared" si="8"/>
        <v>19.5</v>
      </c>
      <c r="K88" s="90">
        <f t="shared" si="8"/>
        <v>22.7</v>
      </c>
      <c r="L88" s="90">
        <f t="shared" si="8"/>
        <v>40.4</v>
      </c>
      <c r="M88" s="90">
        <f t="shared" si="8"/>
        <v>44</v>
      </c>
      <c r="N88" s="90">
        <f t="shared" si="8"/>
        <v>25.6</v>
      </c>
      <c r="O88" s="90">
        <f t="shared" si="8"/>
        <v>27.299999999999997</v>
      </c>
      <c r="P88" s="90">
        <f t="shared" si="8"/>
        <v>11.399999999999999</v>
      </c>
      <c r="R88" s="90">
        <f t="shared" ref="R88:AB88" si="9">SUM(R84:R86)</f>
        <v>47.4</v>
      </c>
      <c r="S88" s="90">
        <f t="shared" si="9"/>
        <v>16.600000000000001</v>
      </c>
      <c r="T88" s="90">
        <f t="shared" si="9"/>
        <v>38.900000000000006</v>
      </c>
      <c r="U88" s="90">
        <f t="shared" si="9"/>
        <v>30.1</v>
      </c>
      <c r="V88" s="90">
        <f t="shared" si="9"/>
        <v>19.5</v>
      </c>
      <c r="W88" s="90">
        <f t="shared" si="9"/>
        <v>22.7</v>
      </c>
      <c r="X88" s="90">
        <f t="shared" si="9"/>
        <v>40.4</v>
      </c>
      <c r="Y88" s="90">
        <f t="shared" si="9"/>
        <v>44</v>
      </c>
      <c r="Z88" s="90">
        <f t="shared" si="9"/>
        <v>25.6</v>
      </c>
      <c r="AA88" s="90">
        <f t="shared" si="9"/>
        <v>27.299999999999997</v>
      </c>
      <c r="AB88" s="90">
        <f t="shared" si="9"/>
        <v>11.399999999999999</v>
      </c>
    </row>
    <row r="89" spans="2:51" s="40" customFormat="1" x14ac:dyDescent="0.3">
      <c r="B89" s="39"/>
      <c r="D89" s="41"/>
      <c r="E89" s="12"/>
      <c r="F89" s="2"/>
      <c r="G89" s="2"/>
      <c r="H89" s="2"/>
      <c r="I89" s="2"/>
      <c r="J89" s="2"/>
      <c r="K89" s="2"/>
      <c r="L89" s="2"/>
      <c r="M89" s="2"/>
      <c r="N89" s="2"/>
      <c r="O89" s="2"/>
      <c r="P89" s="2"/>
      <c r="R89" s="3"/>
      <c r="S89" s="3"/>
      <c r="T89" s="3"/>
      <c r="U89" s="3"/>
      <c r="V89" s="3"/>
      <c r="W89" s="3"/>
      <c r="X89" s="3"/>
      <c r="Y89" s="3"/>
      <c r="Z89" s="3"/>
      <c r="AA89" s="3"/>
      <c r="AB89" s="3"/>
    </row>
    <row r="90" spans="2:51" s="40" customFormat="1" x14ac:dyDescent="0.3">
      <c r="B90" s="39"/>
      <c r="D90" s="41"/>
      <c r="E90" s="12"/>
      <c r="F90" s="2"/>
      <c r="G90" s="2"/>
      <c r="H90" s="2"/>
      <c r="I90" s="2"/>
      <c r="J90" s="2"/>
      <c r="K90" s="2"/>
      <c r="L90" s="2"/>
      <c r="M90" s="2"/>
      <c r="N90" s="2"/>
      <c r="O90" s="2"/>
      <c r="P90" s="2"/>
      <c r="R90" s="3"/>
      <c r="S90" s="3"/>
      <c r="T90" s="3"/>
      <c r="U90" s="3"/>
      <c r="V90" s="3"/>
      <c r="W90" s="3"/>
      <c r="X90" s="3"/>
      <c r="Y90" s="3"/>
      <c r="Z90" s="3"/>
      <c r="AA90" s="3"/>
      <c r="AB90" s="3"/>
    </row>
    <row r="91" spans="2:51" x14ac:dyDescent="0.3">
      <c r="D91" s="31"/>
      <c r="E91" s="12"/>
      <c r="F91" s="31"/>
      <c r="G91" s="31"/>
      <c r="H91" s="31"/>
      <c r="I91" s="31"/>
      <c r="J91" s="31"/>
      <c r="K91" s="31"/>
      <c r="L91" s="31"/>
      <c r="M91" s="31"/>
      <c r="N91" s="31"/>
      <c r="O91" s="31"/>
      <c r="P91" s="31"/>
      <c r="Q91" s="31"/>
      <c r="R91" s="31"/>
      <c r="S91" s="31"/>
      <c r="T91" s="31"/>
      <c r="U91" s="31"/>
      <c r="V91" s="31"/>
      <c r="W91" s="31"/>
    </row>
    <row r="92" spans="2:51" x14ac:dyDescent="0.3">
      <c r="D92" s="31"/>
      <c r="E92" s="12"/>
      <c r="F92" s="31"/>
      <c r="G92" s="31"/>
      <c r="H92" s="31"/>
      <c r="I92" s="31"/>
      <c r="J92" s="31"/>
      <c r="K92" s="31"/>
      <c r="L92" s="31"/>
      <c r="M92" s="31"/>
      <c r="N92" s="31"/>
      <c r="O92" s="31"/>
      <c r="P92" s="31"/>
      <c r="Q92" s="31"/>
      <c r="R92" s="31"/>
      <c r="S92" s="31"/>
      <c r="T92" s="31"/>
      <c r="U92" s="31"/>
      <c r="V92" s="31"/>
      <c r="W92" s="31"/>
    </row>
    <row r="93" spans="2:51" s="23" customFormat="1" ht="25.8" x14ac:dyDescent="0.3">
      <c r="B93" s="54"/>
      <c r="C93" s="25" t="s">
        <v>20</v>
      </c>
      <c r="E93" s="24"/>
    </row>
    <row r="94" spans="2:51" x14ac:dyDescent="0.3">
      <c r="E94" s="9"/>
      <c r="F94" s="5">
        <v>1</v>
      </c>
      <c r="G94" s="5">
        <v>2</v>
      </c>
      <c r="H94" s="5">
        <v>3</v>
      </c>
      <c r="I94" s="5">
        <v>4</v>
      </c>
      <c r="J94" s="5">
        <v>5</v>
      </c>
      <c r="K94" s="5">
        <v>6</v>
      </c>
      <c r="L94" s="5">
        <v>7</v>
      </c>
      <c r="M94" s="5">
        <v>8</v>
      </c>
      <c r="N94" s="5">
        <v>9</v>
      </c>
      <c r="O94" s="5">
        <v>10</v>
      </c>
      <c r="P94" s="5">
        <v>11</v>
      </c>
      <c r="Q94" s="5">
        <v>12</v>
      </c>
      <c r="R94" s="5">
        <v>13</v>
      </c>
      <c r="S94" s="5">
        <v>14</v>
      </c>
      <c r="T94" s="5">
        <v>15</v>
      </c>
      <c r="U94" s="5">
        <v>16</v>
      </c>
      <c r="V94" s="5">
        <v>17</v>
      </c>
      <c r="W94" s="5">
        <v>18</v>
      </c>
      <c r="X94" s="5">
        <v>19</v>
      </c>
      <c r="Y94" s="5">
        <v>20</v>
      </c>
      <c r="Z94" s="5">
        <v>21</v>
      </c>
      <c r="AA94" s="5">
        <v>22</v>
      </c>
      <c r="AB94" s="5">
        <v>23</v>
      </c>
      <c r="AC94" s="5">
        <v>24</v>
      </c>
      <c r="AD94" s="5">
        <v>25</v>
      </c>
      <c r="AE94" s="5">
        <v>26</v>
      </c>
      <c r="AF94" s="5">
        <v>27</v>
      </c>
      <c r="AG94" s="5">
        <v>28</v>
      </c>
      <c r="AH94" s="5">
        <v>29</v>
      </c>
      <c r="AI94" s="5">
        <v>30</v>
      </c>
      <c r="AJ94" s="5">
        <v>31</v>
      </c>
      <c r="AK94" s="5">
        <v>32</v>
      </c>
      <c r="AL94" s="5">
        <v>33</v>
      </c>
      <c r="AM94" s="5">
        <v>34</v>
      </c>
      <c r="AN94" s="5">
        <v>35</v>
      </c>
      <c r="AO94" s="5">
        <v>36</v>
      </c>
      <c r="AP94" s="5">
        <v>37</v>
      </c>
      <c r="AQ94" s="5">
        <v>38</v>
      </c>
      <c r="AR94" s="5">
        <v>39</v>
      </c>
      <c r="AS94" s="5">
        <v>40</v>
      </c>
      <c r="AT94" s="5">
        <v>41</v>
      </c>
      <c r="AU94" s="5">
        <v>42</v>
      </c>
      <c r="AV94" s="5">
        <v>43</v>
      </c>
      <c r="AW94" s="5">
        <v>44</v>
      </c>
      <c r="AX94" s="5">
        <v>45</v>
      </c>
      <c r="AY94" s="5">
        <v>46</v>
      </c>
    </row>
    <row r="95" spans="2:51" x14ac:dyDescent="0.3">
      <c r="E95" s="9"/>
    </row>
    <row r="96" spans="2:51" x14ac:dyDescent="0.3">
      <c r="E96" s="9"/>
    </row>
    <row r="97" spans="5:5" x14ac:dyDescent="0.3">
      <c r="E97" s="9"/>
    </row>
    <row r="98" spans="5:5" x14ac:dyDescent="0.3">
      <c r="E98" s="9"/>
    </row>
    <row r="99" spans="5:5" x14ac:dyDescent="0.3">
      <c r="E99" s="9"/>
    </row>
    <row r="100" spans="5:5" x14ac:dyDescent="0.3">
      <c r="E100" s="9"/>
    </row>
    <row r="101" spans="5:5" x14ac:dyDescent="0.3">
      <c r="E101" s="9"/>
    </row>
    <row r="102" spans="5:5" x14ac:dyDescent="0.3">
      <c r="E102" s="9"/>
    </row>
    <row r="103" spans="5:5" x14ac:dyDescent="0.3">
      <c r="E103" s="9"/>
    </row>
    <row r="104" spans="5:5" x14ac:dyDescent="0.3">
      <c r="E104" s="9"/>
    </row>
    <row r="105" spans="5:5" x14ac:dyDescent="0.3">
      <c r="E105" s="9"/>
    </row>
    <row r="106" spans="5:5" x14ac:dyDescent="0.3">
      <c r="E106" s="9"/>
    </row>
    <row r="107" spans="5:5" x14ac:dyDescent="0.3">
      <c r="E107" s="9"/>
    </row>
    <row r="108" spans="5:5" x14ac:dyDescent="0.3">
      <c r="E108" s="9"/>
    </row>
    <row r="109" spans="5:5" x14ac:dyDescent="0.3">
      <c r="E109" s="9"/>
    </row>
    <row r="110" spans="5:5" x14ac:dyDescent="0.3">
      <c r="E110" s="9"/>
    </row>
    <row r="111" spans="5:5" x14ac:dyDescent="0.3">
      <c r="E111" s="9"/>
    </row>
    <row r="112" spans="5:5" x14ac:dyDescent="0.3">
      <c r="E112" s="9"/>
    </row>
    <row r="113" spans="5:5" x14ac:dyDescent="0.3">
      <c r="E113" s="9"/>
    </row>
    <row r="114" spans="5:5" x14ac:dyDescent="0.3">
      <c r="E114" s="9"/>
    </row>
    <row r="115" spans="5:5" x14ac:dyDescent="0.3">
      <c r="E115" s="9"/>
    </row>
    <row r="116" spans="5:5" x14ac:dyDescent="0.3">
      <c r="E116" s="9"/>
    </row>
    <row r="117" spans="5:5" x14ac:dyDescent="0.3">
      <c r="E117" s="9"/>
    </row>
    <row r="118" spans="5:5" x14ac:dyDescent="0.3">
      <c r="E118" s="9"/>
    </row>
    <row r="119" spans="5:5" x14ac:dyDescent="0.3">
      <c r="E119" s="9"/>
    </row>
    <row r="120" spans="5:5" x14ac:dyDescent="0.3">
      <c r="E120" s="9"/>
    </row>
    <row r="121" spans="5:5" x14ac:dyDescent="0.3">
      <c r="E121" s="9"/>
    </row>
    <row r="122" spans="5:5" x14ac:dyDescent="0.3">
      <c r="E122" s="9"/>
    </row>
    <row r="123" spans="5:5" x14ac:dyDescent="0.3">
      <c r="E123" s="9"/>
    </row>
    <row r="124" spans="5:5" x14ac:dyDescent="0.3">
      <c r="E124" s="9"/>
    </row>
    <row r="125" spans="5:5" x14ac:dyDescent="0.3">
      <c r="E125" s="9"/>
    </row>
    <row r="126" spans="5:5" x14ac:dyDescent="0.3">
      <c r="E126" s="9"/>
    </row>
    <row r="127" spans="5:5" x14ac:dyDescent="0.3">
      <c r="E127" s="9"/>
    </row>
    <row r="128" spans="5:5" x14ac:dyDescent="0.3">
      <c r="E128" s="9"/>
    </row>
    <row r="129" spans="5:5" x14ac:dyDescent="0.3">
      <c r="E129" s="9"/>
    </row>
    <row r="130" spans="5:5" x14ac:dyDescent="0.3">
      <c r="E130" s="9"/>
    </row>
    <row r="131" spans="5:5" x14ac:dyDescent="0.3">
      <c r="E131" s="9"/>
    </row>
    <row r="132" spans="5:5" x14ac:dyDescent="0.3">
      <c r="E132" s="9"/>
    </row>
    <row r="133" spans="5:5" x14ac:dyDescent="0.3">
      <c r="E133" s="9"/>
    </row>
    <row r="134" spans="5:5" x14ac:dyDescent="0.3">
      <c r="E134" s="9"/>
    </row>
    <row r="135" spans="5:5" x14ac:dyDescent="0.3">
      <c r="E135" s="9"/>
    </row>
    <row r="136" spans="5:5" x14ac:dyDescent="0.3">
      <c r="E136" s="9"/>
    </row>
    <row r="137" spans="5:5" x14ac:dyDescent="0.3">
      <c r="E137" s="9"/>
    </row>
    <row r="138" spans="5:5" x14ac:dyDescent="0.3">
      <c r="E138" s="9"/>
    </row>
    <row r="139" spans="5:5" x14ac:dyDescent="0.3">
      <c r="E139" s="9"/>
    </row>
    <row r="140" spans="5:5" x14ac:dyDescent="0.3">
      <c r="E140" s="9"/>
    </row>
    <row r="141" spans="5:5" x14ac:dyDescent="0.3">
      <c r="E141" s="9"/>
    </row>
    <row r="142" spans="5:5" x14ac:dyDescent="0.3">
      <c r="E142" s="9"/>
    </row>
    <row r="143" spans="5:5" x14ac:dyDescent="0.3">
      <c r="E143" s="9"/>
    </row>
    <row r="144" spans="5:5" x14ac:dyDescent="0.3">
      <c r="E144" s="9"/>
    </row>
    <row r="145" spans="5:5" x14ac:dyDescent="0.3">
      <c r="E145" s="9"/>
    </row>
    <row r="146" spans="5:5" x14ac:dyDescent="0.3">
      <c r="E146" s="9"/>
    </row>
    <row r="147" spans="5:5" x14ac:dyDescent="0.3">
      <c r="E147" s="9"/>
    </row>
    <row r="148" spans="5:5" x14ac:dyDescent="0.3">
      <c r="E148" s="9"/>
    </row>
    <row r="149" spans="5:5" x14ac:dyDescent="0.3">
      <c r="E149" s="9"/>
    </row>
    <row r="150" spans="5:5" x14ac:dyDescent="0.3">
      <c r="E150" s="9"/>
    </row>
    <row r="151" spans="5:5" x14ac:dyDescent="0.3">
      <c r="E151" s="9"/>
    </row>
    <row r="152" spans="5:5" x14ac:dyDescent="0.3">
      <c r="E152" s="9"/>
    </row>
    <row r="153" spans="5:5" x14ac:dyDescent="0.3">
      <c r="E153" s="9"/>
    </row>
    <row r="154" spans="5:5" x14ac:dyDescent="0.3">
      <c r="E154" s="9"/>
    </row>
    <row r="155" spans="5:5" x14ac:dyDescent="0.3">
      <c r="E155" s="9"/>
    </row>
    <row r="156" spans="5:5" x14ac:dyDescent="0.3">
      <c r="E156" s="9"/>
    </row>
    <row r="157" spans="5:5" x14ac:dyDescent="0.3">
      <c r="E157" s="9"/>
    </row>
    <row r="158" spans="5:5" x14ac:dyDescent="0.3">
      <c r="E158" s="9"/>
    </row>
    <row r="159" spans="5:5" x14ac:dyDescent="0.3">
      <c r="E159" s="9"/>
    </row>
    <row r="160" spans="5:5" x14ac:dyDescent="0.3">
      <c r="E160" s="9"/>
    </row>
    <row r="161" spans="5:5" x14ac:dyDescent="0.3">
      <c r="E161" s="9"/>
    </row>
    <row r="162" spans="5:5" x14ac:dyDescent="0.3">
      <c r="E162" s="9"/>
    </row>
    <row r="163" spans="5:5" x14ac:dyDescent="0.3">
      <c r="E163" s="9"/>
    </row>
    <row r="164" spans="5:5" x14ac:dyDescent="0.3">
      <c r="E164" s="9"/>
    </row>
    <row r="165" spans="5:5" x14ac:dyDescent="0.3">
      <c r="E165" s="9"/>
    </row>
    <row r="166" spans="5:5" x14ac:dyDescent="0.3">
      <c r="E166" s="9"/>
    </row>
    <row r="167" spans="5:5" x14ac:dyDescent="0.3">
      <c r="E167" s="9"/>
    </row>
    <row r="168" spans="5:5" x14ac:dyDescent="0.3">
      <c r="E168" s="9"/>
    </row>
    <row r="169" spans="5:5" x14ac:dyDescent="0.3">
      <c r="E169" s="9"/>
    </row>
    <row r="170" spans="5:5" x14ac:dyDescent="0.3">
      <c r="E170" s="9"/>
    </row>
    <row r="171" spans="5:5" x14ac:dyDescent="0.3">
      <c r="E171" s="9"/>
    </row>
    <row r="172" spans="5:5" x14ac:dyDescent="0.3">
      <c r="E172" s="9"/>
    </row>
    <row r="173" spans="5:5" x14ac:dyDescent="0.3">
      <c r="E173" s="9"/>
    </row>
    <row r="174" spans="5:5" x14ac:dyDescent="0.3">
      <c r="E174" s="9"/>
    </row>
    <row r="175" spans="5:5" x14ac:dyDescent="0.3">
      <c r="E175" s="9"/>
    </row>
    <row r="176" spans="5:5" x14ac:dyDescent="0.3">
      <c r="E176" s="9"/>
    </row>
    <row r="177" spans="5:5" x14ac:dyDescent="0.3">
      <c r="E177" s="9"/>
    </row>
    <row r="178" spans="5:5" x14ac:dyDescent="0.3">
      <c r="E178" s="9"/>
    </row>
    <row r="179" spans="5:5" x14ac:dyDescent="0.3">
      <c r="E179" s="9"/>
    </row>
    <row r="180" spans="5:5" x14ac:dyDescent="0.3">
      <c r="E180" s="9"/>
    </row>
    <row r="181" spans="5:5" x14ac:dyDescent="0.3">
      <c r="E181" s="9"/>
    </row>
    <row r="182" spans="5:5" x14ac:dyDescent="0.3">
      <c r="E182" s="9"/>
    </row>
    <row r="183" spans="5:5" x14ac:dyDescent="0.3">
      <c r="E183" s="9"/>
    </row>
    <row r="184" spans="5:5" x14ac:dyDescent="0.3">
      <c r="E184" s="9"/>
    </row>
    <row r="185" spans="5:5" x14ac:dyDescent="0.3">
      <c r="E185" s="9"/>
    </row>
    <row r="186" spans="5:5" x14ac:dyDescent="0.3">
      <c r="E186" s="9"/>
    </row>
    <row r="187" spans="5:5" x14ac:dyDescent="0.3">
      <c r="E187" s="9"/>
    </row>
    <row r="188" spans="5:5" x14ac:dyDescent="0.3">
      <c r="E188" s="9"/>
    </row>
    <row r="189" spans="5:5" x14ac:dyDescent="0.3">
      <c r="E189" s="9"/>
    </row>
    <row r="190" spans="5:5" x14ac:dyDescent="0.3">
      <c r="E190" s="9"/>
    </row>
    <row r="191" spans="5:5" x14ac:dyDescent="0.3">
      <c r="E191" s="9"/>
    </row>
    <row r="192" spans="5:5" x14ac:dyDescent="0.3">
      <c r="E192" s="9"/>
    </row>
    <row r="193" spans="5:5" x14ac:dyDescent="0.3">
      <c r="E193" s="9"/>
    </row>
    <row r="194" spans="5:5" x14ac:dyDescent="0.3">
      <c r="E194" s="9"/>
    </row>
    <row r="195" spans="5:5" x14ac:dyDescent="0.3">
      <c r="E195" s="9"/>
    </row>
    <row r="196" spans="5:5" x14ac:dyDescent="0.3">
      <c r="E196" s="9"/>
    </row>
    <row r="197" spans="5:5" x14ac:dyDescent="0.3">
      <c r="E197" s="9"/>
    </row>
    <row r="198" spans="5:5" x14ac:dyDescent="0.3">
      <c r="E198" s="9"/>
    </row>
    <row r="199" spans="5:5" x14ac:dyDescent="0.3">
      <c r="E199" s="9"/>
    </row>
    <row r="200" spans="5:5" x14ac:dyDescent="0.3">
      <c r="E200" s="9"/>
    </row>
    <row r="201" spans="5:5" x14ac:dyDescent="0.3">
      <c r="E201" s="9"/>
    </row>
    <row r="202" spans="5:5" x14ac:dyDescent="0.3">
      <c r="E202" s="9"/>
    </row>
    <row r="203" spans="5:5" x14ac:dyDescent="0.3">
      <c r="E203" s="9"/>
    </row>
    <row r="204" spans="5:5" x14ac:dyDescent="0.3">
      <c r="E204" s="9"/>
    </row>
    <row r="205" spans="5:5" x14ac:dyDescent="0.3">
      <c r="E205" s="9"/>
    </row>
    <row r="206" spans="5:5" x14ac:dyDescent="0.3">
      <c r="E206" s="9"/>
    </row>
    <row r="207" spans="5:5" x14ac:dyDescent="0.3">
      <c r="E207" s="9"/>
    </row>
    <row r="208" spans="5:5" x14ac:dyDescent="0.3">
      <c r="E208" s="9"/>
    </row>
    <row r="209" spans="5:5" x14ac:dyDescent="0.3">
      <c r="E209" s="9"/>
    </row>
    <row r="210" spans="5:5" x14ac:dyDescent="0.3">
      <c r="E210" s="9"/>
    </row>
    <row r="211" spans="5:5" x14ac:dyDescent="0.3">
      <c r="E211" s="9"/>
    </row>
    <row r="212" spans="5:5" x14ac:dyDescent="0.3">
      <c r="E212" s="9"/>
    </row>
    <row r="213" spans="5:5" x14ac:dyDescent="0.3">
      <c r="E213" s="9"/>
    </row>
    <row r="214" spans="5:5" x14ac:dyDescent="0.3">
      <c r="E214" s="9"/>
    </row>
    <row r="215" spans="5:5" x14ac:dyDescent="0.3">
      <c r="E215" s="9"/>
    </row>
    <row r="216" spans="5:5" x14ac:dyDescent="0.3">
      <c r="E216" s="9"/>
    </row>
    <row r="217" spans="5:5" x14ac:dyDescent="0.3">
      <c r="E217" s="9"/>
    </row>
    <row r="218" spans="5:5" x14ac:dyDescent="0.3">
      <c r="E218" s="9"/>
    </row>
    <row r="219" spans="5:5" x14ac:dyDescent="0.3">
      <c r="E219" s="9"/>
    </row>
    <row r="220" spans="5:5" x14ac:dyDescent="0.3">
      <c r="E220" s="9"/>
    </row>
    <row r="221" spans="5:5" x14ac:dyDescent="0.3">
      <c r="E221" s="9"/>
    </row>
    <row r="222" spans="5:5" x14ac:dyDescent="0.3">
      <c r="E222" s="9"/>
    </row>
    <row r="223" spans="5:5" x14ac:dyDescent="0.3">
      <c r="E223" s="9"/>
    </row>
    <row r="224" spans="5:5" x14ac:dyDescent="0.3">
      <c r="E224" s="9"/>
    </row>
    <row r="225" spans="5:5" x14ac:dyDescent="0.3">
      <c r="E225" s="9"/>
    </row>
    <row r="226" spans="5:5" x14ac:dyDescent="0.3">
      <c r="E226" s="9"/>
    </row>
    <row r="227" spans="5:5" x14ac:dyDescent="0.3">
      <c r="E227" s="9"/>
    </row>
    <row r="228" spans="5:5" x14ac:dyDescent="0.3">
      <c r="E228" s="9"/>
    </row>
    <row r="229" spans="5:5" x14ac:dyDescent="0.3">
      <c r="E229" s="9"/>
    </row>
    <row r="230" spans="5:5" x14ac:dyDescent="0.3">
      <c r="E230" s="9"/>
    </row>
    <row r="231" spans="5:5" x14ac:dyDescent="0.3">
      <c r="E231" s="9"/>
    </row>
    <row r="232" spans="5:5" x14ac:dyDescent="0.3">
      <c r="E232" s="9"/>
    </row>
    <row r="233" spans="5:5" x14ac:dyDescent="0.3">
      <c r="E233" s="9"/>
    </row>
    <row r="234" spans="5:5" x14ac:dyDescent="0.3">
      <c r="E234" s="9"/>
    </row>
    <row r="235" spans="5:5" x14ac:dyDescent="0.3">
      <c r="E235" s="9"/>
    </row>
    <row r="236" spans="5:5" x14ac:dyDescent="0.3">
      <c r="E236" s="9"/>
    </row>
    <row r="237" spans="5:5" x14ac:dyDescent="0.3">
      <c r="E237" s="9"/>
    </row>
    <row r="238" spans="5:5" x14ac:dyDescent="0.3">
      <c r="E238" s="9"/>
    </row>
    <row r="239" spans="5:5" x14ac:dyDescent="0.3">
      <c r="E239" s="9"/>
    </row>
    <row r="240" spans="5:5" x14ac:dyDescent="0.3">
      <c r="E240" s="9"/>
    </row>
    <row r="241" spans="5:5" x14ac:dyDescent="0.3">
      <c r="E241" s="9"/>
    </row>
    <row r="242" spans="5:5" x14ac:dyDescent="0.3">
      <c r="E242" s="9"/>
    </row>
    <row r="243" spans="5:5" x14ac:dyDescent="0.3">
      <c r="E243" s="9"/>
    </row>
    <row r="244" spans="5:5" x14ac:dyDescent="0.3">
      <c r="E244" s="9"/>
    </row>
    <row r="245" spans="5:5" x14ac:dyDescent="0.3">
      <c r="E245" s="9"/>
    </row>
    <row r="246" spans="5:5" x14ac:dyDescent="0.3">
      <c r="E246" s="9"/>
    </row>
    <row r="247" spans="5:5" x14ac:dyDescent="0.3">
      <c r="E247" s="9"/>
    </row>
    <row r="248" spans="5:5" x14ac:dyDescent="0.3">
      <c r="E248" s="9"/>
    </row>
    <row r="249" spans="5:5" x14ac:dyDescent="0.3">
      <c r="E249" s="9"/>
    </row>
    <row r="250" spans="5:5" x14ac:dyDescent="0.3">
      <c r="E250" s="9"/>
    </row>
    <row r="251" spans="5:5" x14ac:dyDescent="0.3">
      <c r="E251" s="9"/>
    </row>
    <row r="252" spans="5:5" x14ac:dyDescent="0.3">
      <c r="E252" s="9"/>
    </row>
    <row r="253" spans="5:5" x14ac:dyDescent="0.3">
      <c r="E253" s="9"/>
    </row>
    <row r="254" spans="5:5" x14ac:dyDescent="0.3">
      <c r="E254" s="9"/>
    </row>
    <row r="255" spans="5:5" x14ac:dyDescent="0.3">
      <c r="E255" s="9"/>
    </row>
    <row r="256" spans="5:5" x14ac:dyDescent="0.3">
      <c r="E256" s="9"/>
    </row>
    <row r="257" spans="5:5" x14ac:dyDescent="0.3">
      <c r="E257" s="9"/>
    </row>
    <row r="258" spans="5:5" x14ac:dyDescent="0.3">
      <c r="E258" s="9"/>
    </row>
    <row r="259" spans="5:5" x14ac:dyDescent="0.3">
      <c r="E259" s="9"/>
    </row>
    <row r="260" spans="5:5" x14ac:dyDescent="0.3">
      <c r="E260" s="9"/>
    </row>
    <row r="261" spans="5:5" x14ac:dyDescent="0.3">
      <c r="E261" s="9"/>
    </row>
    <row r="262" spans="5:5" x14ac:dyDescent="0.3">
      <c r="E262" s="9"/>
    </row>
    <row r="263" spans="5:5" x14ac:dyDescent="0.3">
      <c r="E263" s="9"/>
    </row>
    <row r="264" spans="5:5" x14ac:dyDescent="0.3">
      <c r="E264" s="9"/>
    </row>
    <row r="265" spans="5:5" x14ac:dyDescent="0.3">
      <c r="E265" s="9"/>
    </row>
    <row r="266" spans="5:5" x14ac:dyDescent="0.3">
      <c r="E266" s="9"/>
    </row>
    <row r="267" spans="5:5" x14ac:dyDescent="0.3">
      <c r="E267" s="9"/>
    </row>
    <row r="268" spans="5:5" x14ac:dyDescent="0.3">
      <c r="E268" s="9"/>
    </row>
    <row r="269" spans="5:5" x14ac:dyDescent="0.3">
      <c r="E269" s="9"/>
    </row>
    <row r="270" spans="5:5" x14ac:dyDescent="0.3">
      <c r="E270" s="9"/>
    </row>
    <row r="271" spans="5:5" x14ac:dyDescent="0.3">
      <c r="E271" s="9"/>
    </row>
    <row r="272" spans="5:5" x14ac:dyDescent="0.3">
      <c r="E272" s="9"/>
    </row>
    <row r="273" spans="5:5" x14ac:dyDescent="0.3">
      <c r="E273" s="9"/>
    </row>
    <row r="274" spans="5:5" x14ac:dyDescent="0.3">
      <c r="E274" s="9"/>
    </row>
    <row r="275" spans="5:5" x14ac:dyDescent="0.3">
      <c r="E275" s="9"/>
    </row>
    <row r="276" spans="5:5" x14ac:dyDescent="0.3">
      <c r="E276" s="9"/>
    </row>
    <row r="277" spans="5:5" x14ac:dyDescent="0.3">
      <c r="E277" s="9"/>
    </row>
    <row r="278" spans="5:5" x14ac:dyDescent="0.3">
      <c r="E278" s="9"/>
    </row>
    <row r="279" spans="5:5" x14ac:dyDescent="0.3">
      <c r="E279" s="9"/>
    </row>
    <row r="280" spans="5:5" x14ac:dyDescent="0.3">
      <c r="E280" s="9"/>
    </row>
    <row r="281" spans="5:5" x14ac:dyDescent="0.3">
      <c r="E281" s="9"/>
    </row>
    <row r="282" spans="5:5" x14ac:dyDescent="0.3">
      <c r="E282" s="9"/>
    </row>
    <row r="283" spans="5:5" x14ac:dyDescent="0.3">
      <c r="E283" s="9"/>
    </row>
    <row r="284" spans="5:5" x14ac:dyDescent="0.3">
      <c r="E284" s="9"/>
    </row>
  </sheetData>
  <conditionalFormatting sqref="L38 J41">
    <cfRule type="containsText" dxfId="65" priority="42" operator="containsText" text="no">
      <formula>NOT(ISERROR(SEARCH("no",J38)))</formula>
    </cfRule>
  </conditionalFormatting>
  <conditionalFormatting sqref="T41">
    <cfRule type="containsText" dxfId="64" priority="41" operator="containsText" text="no">
      <formula>NOT(ISERROR(SEARCH("no",T41)))</formula>
    </cfRule>
  </conditionalFormatting>
  <conditionalFormatting sqref="I39:S40">
    <cfRule type="containsText" dxfId="63" priority="29" operator="containsText" text="f">
      <formula>NOT(ISERROR(SEARCH("f",I39)))</formula>
    </cfRule>
    <cfRule type="containsText" dxfId="62" priority="30" operator="containsText" text="e">
      <formula>NOT(ISERROR(SEARCH("e",I39)))</formula>
    </cfRule>
  </conditionalFormatting>
  <conditionalFormatting sqref="S39:T39 T40">
    <cfRule type="containsText" dxfId="61" priority="27" operator="containsText" text="f">
      <formula>NOT(ISERROR(SEARCH("f",S39)))</formula>
    </cfRule>
    <cfRule type="containsText" dxfId="60" priority="28" operator="containsText" text="e">
      <formula>NOT(ISERROR(SEARCH("e",S39)))</formula>
    </cfRule>
  </conditionalFormatting>
  <conditionalFormatting sqref="U40">
    <cfRule type="containsText" dxfId="59" priority="25" operator="containsText" text="f">
      <formula>NOT(ISERROR(SEARCH("f",U40)))</formula>
    </cfRule>
    <cfRule type="containsText" dxfId="58" priority="26" operator="containsText" text="e">
      <formula>NOT(ISERROR(SEARCH("e",U40)))</formula>
    </cfRule>
  </conditionalFormatting>
  <conditionalFormatting sqref="P40">
    <cfRule type="containsText" dxfId="57" priority="23" operator="containsText" text="f">
      <formula>NOT(ISERROR(SEARCH("f",P40)))</formula>
    </cfRule>
    <cfRule type="containsText" dxfId="56" priority="24" operator="containsText" text="e">
      <formula>NOT(ISERROR(SEARCH("e",P40)))</formula>
    </cfRule>
  </conditionalFormatting>
  <conditionalFormatting sqref="Q40">
    <cfRule type="containsText" dxfId="55" priority="21" operator="containsText" text="f">
      <formula>NOT(ISERROR(SEARCH("f",Q40)))</formula>
    </cfRule>
    <cfRule type="containsText" dxfId="54" priority="22" operator="containsText" text="e">
      <formula>NOT(ISERROR(SEARCH("e",Q40)))</formula>
    </cfRule>
  </conditionalFormatting>
  <conditionalFormatting sqref="R40">
    <cfRule type="containsText" dxfId="53" priority="19" operator="containsText" text="f">
      <formula>NOT(ISERROR(SEARCH("f",R40)))</formula>
    </cfRule>
    <cfRule type="containsText" dxfId="52" priority="20" operator="containsText" text="e">
      <formula>NOT(ISERROR(SEARCH("e",R40)))</formula>
    </cfRule>
  </conditionalFormatting>
  <conditionalFormatting sqref="S40">
    <cfRule type="containsText" dxfId="51" priority="17" operator="containsText" text="f">
      <formula>NOT(ISERROR(SEARCH("f",S40)))</formula>
    </cfRule>
    <cfRule type="containsText" dxfId="50" priority="18" operator="containsText" text="e">
      <formula>NOT(ISERROR(SEARCH("e",S40)))</formula>
    </cfRule>
  </conditionalFormatting>
  <conditionalFormatting sqref="V41">
    <cfRule type="containsText" dxfId="49" priority="15" operator="containsText" text="no">
      <formula>NOT(ISERROR(SEARCH("no",V41)))</formula>
    </cfRule>
  </conditionalFormatting>
  <conditionalFormatting sqref="V39:V40">
    <cfRule type="containsText" dxfId="48" priority="13" operator="containsText" text="f">
      <formula>NOT(ISERROR(SEARCH("f",V39)))</formula>
    </cfRule>
    <cfRule type="containsText" dxfId="47" priority="14" operator="containsText" text="e">
      <formula>NOT(ISERROR(SEARCH("e",V39)))</formula>
    </cfRule>
  </conditionalFormatting>
  <conditionalFormatting sqref="W39:W40">
    <cfRule type="containsText" dxfId="46" priority="11" operator="containsText" text="f">
      <formula>NOT(ISERROR(SEARCH("f",W39)))</formula>
    </cfRule>
    <cfRule type="containsText" dxfId="45" priority="12" operator="containsText" text="e">
      <formula>NOT(ISERROR(SEARCH("e",W39)))</formula>
    </cfRule>
  </conditionalFormatting>
  <conditionalFormatting sqref="X41">
    <cfRule type="containsText" dxfId="44" priority="10" operator="containsText" text="no">
      <formula>NOT(ISERROR(SEARCH("no",X41)))</formula>
    </cfRule>
  </conditionalFormatting>
  <conditionalFormatting sqref="X39:X40">
    <cfRule type="containsText" dxfId="43" priority="8" operator="containsText" text="f">
      <formula>NOT(ISERROR(SEARCH("f",X39)))</formula>
    </cfRule>
    <cfRule type="containsText" dxfId="42" priority="9" operator="containsText" text="e">
      <formula>NOT(ISERROR(SEARCH("e",X39)))</formula>
    </cfRule>
  </conditionalFormatting>
  <conditionalFormatting sqref="Y39:Y40">
    <cfRule type="containsText" dxfId="41" priority="6" operator="containsText" text="f">
      <formula>NOT(ISERROR(SEARCH("f",Y39)))</formula>
    </cfRule>
    <cfRule type="containsText" dxfId="40" priority="7" operator="containsText" text="e">
      <formula>NOT(ISERROR(SEARCH("e",Y39)))</formula>
    </cfRule>
  </conditionalFormatting>
  <conditionalFormatting sqref="Z41">
    <cfRule type="containsText" dxfId="39" priority="5" operator="containsText" text="no">
      <formula>NOT(ISERROR(SEARCH("no",Z41)))</formula>
    </cfRule>
  </conditionalFormatting>
  <conditionalFormatting sqref="Z39:Z40">
    <cfRule type="containsText" dxfId="38" priority="3" operator="containsText" text="f">
      <formula>NOT(ISERROR(SEARCH("f",Z39)))</formula>
    </cfRule>
    <cfRule type="containsText" dxfId="37" priority="4" operator="containsText" text="e">
      <formula>NOT(ISERROR(SEARCH("e",Z39)))</formula>
    </cfRule>
  </conditionalFormatting>
  <conditionalFormatting sqref="AA39:AA40">
    <cfRule type="containsText" dxfId="36" priority="1" operator="containsText" text="f">
      <formula>NOT(ISERROR(SEARCH("f",AA39)))</formula>
    </cfRule>
    <cfRule type="containsText" dxfId="35" priority="2" operator="containsText" text="e">
      <formula>NOT(ISERROR(SEARCH("e",AA39)))</formula>
    </cfRule>
  </conditionalFormatting>
  <dataValidations disablePrompts="1" count="1">
    <dataValidation type="list" allowBlank="1" showInputMessage="1" showErrorMessage="1" sqref="G7" xr:uid="{FC537933-0BC7-4A83-A2AC-C2E8C17BD07A}">
      <formula1>$B$16:$B$24</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Drop Down 1">
              <controlPr defaultSize="0" autoLine="0" autoPict="0">
                <anchor moveWithCells="1">
                  <from>
                    <xdr:col>5</xdr:col>
                    <xdr:colOff>525780</xdr:colOff>
                    <xdr:row>3</xdr:row>
                    <xdr:rowOff>83820</xdr:rowOff>
                  </from>
                  <to>
                    <xdr:col>9</xdr:col>
                    <xdr:colOff>152400</xdr:colOff>
                    <xdr:row>3</xdr:row>
                    <xdr:rowOff>304800</xdr:rowOff>
                  </to>
                </anchor>
              </controlPr>
            </control>
          </mc:Choice>
        </mc:AlternateContent>
        <mc:AlternateContent xmlns:mc="http://schemas.openxmlformats.org/markup-compatibility/2006">
          <mc:Choice Requires="x14">
            <control shapeId="26626" r:id="rId5" name="Drop Down 2">
              <controlPr defaultSize="0" autoLine="0" autoPict="0">
                <anchor moveWithCells="1">
                  <from>
                    <xdr:col>5</xdr:col>
                    <xdr:colOff>525780</xdr:colOff>
                    <xdr:row>4</xdr:row>
                    <xdr:rowOff>30480</xdr:rowOff>
                  </from>
                  <to>
                    <xdr:col>9</xdr:col>
                    <xdr:colOff>152400</xdr:colOff>
                    <xdr:row>5</xdr:row>
                    <xdr:rowOff>45720</xdr:rowOff>
                  </to>
                </anchor>
              </controlPr>
            </control>
          </mc:Choice>
        </mc:AlternateContent>
        <mc:AlternateContent xmlns:mc="http://schemas.openxmlformats.org/markup-compatibility/2006">
          <mc:Choice Requires="x14">
            <control shapeId="26627" r:id="rId6" name="Drop Down 3">
              <controlPr defaultSize="0" autoLine="0" autoPict="0">
                <anchor moveWithCells="1">
                  <from>
                    <xdr:col>5</xdr:col>
                    <xdr:colOff>487680</xdr:colOff>
                    <xdr:row>6</xdr:row>
                    <xdr:rowOff>7620</xdr:rowOff>
                  </from>
                  <to>
                    <xdr:col>9</xdr:col>
                    <xdr:colOff>137160</xdr:colOff>
                    <xdr:row>7</xdr:row>
                    <xdr:rowOff>45720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Y323"/>
  <sheetViews>
    <sheetView showZeros="0" zoomScale="80" zoomScaleNormal="80" workbookViewId="0">
      <selection activeCell="J32" sqref="J32:R32"/>
    </sheetView>
  </sheetViews>
  <sheetFormatPr defaultColWidth="9.109375" defaultRowHeight="14.4" x14ac:dyDescent="0.3"/>
  <cols>
    <col min="1" max="1" width="4.88671875" style="5" customWidth="1"/>
    <col min="2" max="2" width="9.109375" style="6" hidden="1" customWidth="1"/>
    <col min="3" max="3" width="3.6640625" style="9" hidden="1" customWidth="1"/>
    <col min="4" max="4" width="9.109375" style="5"/>
    <col min="5" max="5" width="9.109375" style="8"/>
    <col min="6" max="6" width="10.88671875" style="5" bestFit="1" customWidth="1"/>
    <col min="7" max="19" width="9.109375" style="5"/>
    <col min="20" max="20" width="12.33203125" style="5" customWidth="1"/>
    <col min="21" max="21" width="9.109375" style="5"/>
    <col min="22" max="32" width="6.88671875" style="5" customWidth="1"/>
    <col min="33" max="16384" width="9.109375" style="5"/>
  </cols>
  <sheetData>
    <row r="1" spans="2:34" ht="15" thickBot="1" x14ac:dyDescent="0.35">
      <c r="E1" s="12"/>
    </row>
    <row r="2" spans="2:34" x14ac:dyDescent="0.3">
      <c r="E2" s="20"/>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4"/>
    </row>
    <row r="3" spans="2:34" x14ac:dyDescent="0.3">
      <c r="E3" s="77"/>
      <c r="F3" s="15"/>
      <c r="G3" s="78"/>
      <c r="H3" s="78"/>
      <c r="I3" s="15"/>
      <c r="J3" s="78"/>
      <c r="K3" s="15"/>
      <c r="L3" s="15"/>
      <c r="M3" s="15"/>
      <c r="N3" s="15"/>
      <c r="O3" s="15"/>
      <c r="P3" s="15"/>
      <c r="Q3" s="15"/>
      <c r="R3" s="15"/>
      <c r="S3" s="15"/>
      <c r="T3" s="15"/>
      <c r="U3" s="15"/>
      <c r="V3" s="15"/>
      <c r="W3" s="15"/>
      <c r="X3" s="15"/>
      <c r="Y3" s="15"/>
      <c r="Z3" s="15"/>
      <c r="AA3" s="15"/>
      <c r="AB3" s="15"/>
      <c r="AC3" s="15"/>
      <c r="AD3" s="15"/>
      <c r="AE3" s="15"/>
      <c r="AF3" s="15"/>
      <c r="AG3" s="15"/>
      <c r="AH3" s="16"/>
    </row>
    <row r="4" spans="2:34" ht="31.2" x14ac:dyDescent="0.3">
      <c r="B4" s="12" t="s">
        <v>103</v>
      </c>
      <c r="E4" s="21"/>
      <c r="F4" s="15"/>
      <c r="G4" s="15"/>
      <c r="H4" s="73"/>
      <c r="I4" s="15"/>
      <c r="J4" s="15"/>
      <c r="K4" s="73" t="s">
        <v>168</v>
      </c>
      <c r="L4" s="15"/>
      <c r="M4" s="15"/>
      <c r="N4" s="15"/>
      <c r="O4" s="15"/>
      <c r="P4" s="15"/>
      <c r="Q4" s="15"/>
      <c r="R4" s="15"/>
      <c r="S4" s="15"/>
      <c r="T4" s="15"/>
      <c r="U4" s="15"/>
      <c r="V4" s="15"/>
      <c r="W4" s="15"/>
      <c r="X4" s="15"/>
      <c r="Y4" s="15"/>
      <c r="Z4" s="15"/>
      <c r="AA4" s="15"/>
      <c r="AB4" s="15"/>
      <c r="AC4" s="15"/>
      <c r="AD4" s="15"/>
      <c r="AE4" s="15"/>
      <c r="AF4" s="15"/>
      <c r="AG4" s="15"/>
      <c r="AH4" s="16"/>
    </row>
    <row r="5" spans="2:34" ht="15.6" x14ac:dyDescent="0.3">
      <c r="B5" s="12" t="s">
        <v>104</v>
      </c>
      <c r="E5" s="21"/>
      <c r="F5" s="15"/>
      <c r="G5" s="15"/>
      <c r="H5" s="15"/>
      <c r="I5" s="15"/>
      <c r="J5" s="15"/>
      <c r="K5" s="79" t="s">
        <v>99</v>
      </c>
      <c r="L5" s="15"/>
      <c r="M5" s="15"/>
      <c r="N5" s="15"/>
      <c r="O5" s="15"/>
      <c r="P5" s="15"/>
      <c r="Q5" s="15"/>
      <c r="R5" s="15"/>
      <c r="S5" s="15"/>
      <c r="T5" s="15"/>
      <c r="U5" s="15"/>
      <c r="V5" s="15"/>
      <c r="W5" s="15"/>
      <c r="X5" s="15"/>
      <c r="Y5" s="15"/>
      <c r="Z5" s="15"/>
      <c r="AA5" s="15"/>
      <c r="AB5" s="15"/>
      <c r="AC5" s="15"/>
      <c r="AD5" s="15"/>
      <c r="AE5" s="15"/>
      <c r="AF5" s="15"/>
      <c r="AG5" s="15"/>
      <c r="AH5" s="16"/>
    </row>
    <row r="6" spans="2:34" ht="15.6" x14ac:dyDescent="0.3">
      <c r="B6" s="12" t="s">
        <v>105</v>
      </c>
      <c r="E6" s="21"/>
      <c r="F6" s="15"/>
      <c r="G6" s="15"/>
      <c r="H6" s="33"/>
      <c r="I6" s="15"/>
      <c r="J6" s="15"/>
      <c r="K6" s="79"/>
      <c r="L6" s="15"/>
      <c r="M6" s="15"/>
      <c r="N6" s="15"/>
      <c r="O6" s="15"/>
      <c r="P6" s="15"/>
      <c r="Q6" s="15"/>
      <c r="R6" s="15"/>
      <c r="S6" s="15"/>
      <c r="T6" s="15"/>
      <c r="U6" s="15"/>
      <c r="V6" s="15"/>
      <c r="W6" s="15"/>
      <c r="X6" s="15"/>
      <c r="Y6" s="15"/>
      <c r="Z6" s="15"/>
      <c r="AA6" s="15"/>
      <c r="AB6" s="15"/>
      <c r="AC6" s="15"/>
      <c r="AD6" s="15"/>
      <c r="AE6" s="15"/>
      <c r="AF6" s="15"/>
      <c r="AG6" s="15"/>
      <c r="AH6" s="16"/>
    </row>
    <row r="7" spans="2:34" ht="15.6" x14ac:dyDescent="0.3">
      <c r="B7" s="12" t="s">
        <v>106</v>
      </c>
      <c r="E7" s="21"/>
      <c r="F7" s="15"/>
      <c r="G7" s="15"/>
      <c r="H7" s="79"/>
      <c r="I7" s="15"/>
      <c r="J7" s="15"/>
      <c r="K7" s="79"/>
      <c r="L7" s="15"/>
      <c r="M7" s="15"/>
      <c r="N7" s="15"/>
      <c r="O7" s="15"/>
      <c r="P7" s="15"/>
      <c r="Q7" s="15"/>
      <c r="R7" s="15"/>
      <c r="S7" s="15"/>
      <c r="T7" s="15"/>
      <c r="U7" s="15"/>
      <c r="V7" s="15"/>
      <c r="W7" s="15"/>
      <c r="X7" s="15"/>
      <c r="Y7" s="15"/>
      <c r="Z7" s="15"/>
      <c r="AA7" s="15"/>
      <c r="AB7" s="15"/>
      <c r="AC7" s="15"/>
      <c r="AD7" s="15"/>
      <c r="AE7" s="15"/>
      <c r="AF7" s="15"/>
      <c r="AG7" s="15"/>
      <c r="AH7" s="16"/>
    </row>
    <row r="8" spans="2:34" ht="15.6" x14ac:dyDescent="0.3">
      <c r="B8" s="12" t="s">
        <v>56</v>
      </c>
      <c r="E8" s="21"/>
      <c r="F8" s="15"/>
      <c r="G8" s="15"/>
      <c r="H8" s="79"/>
      <c r="I8" s="15"/>
      <c r="J8" s="15"/>
      <c r="K8" s="15"/>
      <c r="L8" s="15"/>
      <c r="M8" s="15"/>
      <c r="N8" s="15"/>
      <c r="O8" s="15"/>
      <c r="P8" s="15"/>
      <c r="Q8" s="15"/>
      <c r="R8" s="15"/>
      <c r="S8" s="15"/>
      <c r="T8" s="15"/>
      <c r="U8" s="15"/>
      <c r="V8" s="15"/>
      <c r="W8" s="15"/>
      <c r="X8" s="15"/>
      <c r="Y8" s="15"/>
      <c r="Z8" s="15"/>
      <c r="AA8" s="15"/>
      <c r="AB8" s="15"/>
      <c r="AC8" s="15"/>
      <c r="AD8" s="15"/>
      <c r="AE8" s="15"/>
      <c r="AF8" s="15"/>
      <c r="AG8" s="15"/>
      <c r="AH8" s="16"/>
    </row>
    <row r="9" spans="2:34" x14ac:dyDescent="0.3">
      <c r="B9" s="12" t="s">
        <v>107</v>
      </c>
      <c r="E9" s="21"/>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6"/>
    </row>
    <row r="10" spans="2:34" x14ac:dyDescent="0.3">
      <c r="B10" s="12" t="s">
        <v>108</v>
      </c>
      <c r="E10" s="21"/>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6"/>
    </row>
    <row r="11" spans="2:34" x14ac:dyDescent="0.3">
      <c r="B11" s="12" t="s">
        <v>109</v>
      </c>
      <c r="E11" s="21"/>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6"/>
    </row>
    <row r="12" spans="2:34" x14ac:dyDescent="0.3">
      <c r="B12" s="89">
        <v>6</v>
      </c>
      <c r="E12" s="21"/>
      <c r="F12" s="15"/>
      <c r="G12" s="33"/>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6"/>
    </row>
    <row r="13" spans="2:34" x14ac:dyDescent="0.3">
      <c r="B13" s="12"/>
      <c r="E13" s="21"/>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6"/>
    </row>
    <row r="14" spans="2:34" x14ac:dyDescent="0.3">
      <c r="E14" s="21"/>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6"/>
    </row>
    <row r="15" spans="2:34" x14ac:dyDescent="0.3">
      <c r="B15" s="12" t="s">
        <v>122</v>
      </c>
      <c r="E15" s="21"/>
      <c r="F15" s="15"/>
      <c r="G15" s="33"/>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6"/>
    </row>
    <row r="16" spans="2:34" x14ac:dyDescent="0.3">
      <c r="B16" s="12">
        <v>2003</v>
      </c>
      <c r="E16" s="21"/>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6"/>
    </row>
    <row r="17" spans="2:34" x14ac:dyDescent="0.3">
      <c r="B17" s="12">
        <v>2005</v>
      </c>
      <c r="E17" s="21"/>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6"/>
    </row>
    <row r="18" spans="2:34" x14ac:dyDescent="0.3">
      <c r="B18" s="12" t="s">
        <v>123</v>
      </c>
      <c r="E18" s="21"/>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6"/>
    </row>
    <row r="19" spans="2:34" x14ac:dyDescent="0.3">
      <c r="B19" s="12" t="s">
        <v>124</v>
      </c>
      <c r="E19" s="21"/>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6"/>
    </row>
    <row r="20" spans="2:34" x14ac:dyDescent="0.3">
      <c r="B20" s="12" t="s">
        <v>125</v>
      </c>
      <c r="E20" s="21"/>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6"/>
    </row>
    <row r="21" spans="2:34" x14ac:dyDescent="0.3">
      <c r="B21" s="12" t="s">
        <v>126</v>
      </c>
      <c r="E21" s="21"/>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6"/>
    </row>
    <row r="22" spans="2:34" x14ac:dyDescent="0.3">
      <c r="B22" s="12" t="s">
        <v>127</v>
      </c>
      <c r="E22" s="21"/>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6"/>
    </row>
    <row r="23" spans="2:34" x14ac:dyDescent="0.3">
      <c r="B23" s="12" t="s">
        <v>128</v>
      </c>
      <c r="E23" s="21"/>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6"/>
    </row>
    <row r="24" spans="2:34" x14ac:dyDescent="0.3">
      <c r="B24" s="89">
        <v>9</v>
      </c>
      <c r="E24" s="21"/>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6"/>
    </row>
    <row r="25" spans="2:34" x14ac:dyDescent="0.3">
      <c r="E25" s="21"/>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6"/>
    </row>
    <row r="26" spans="2:34" x14ac:dyDescent="0.3">
      <c r="E26" s="21"/>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6"/>
    </row>
    <row r="27" spans="2:34" x14ac:dyDescent="0.3">
      <c r="E27" s="21"/>
      <c r="F27" s="33"/>
      <c r="G27" s="15"/>
      <c r="H27" s="275" t="str">
        <f>CONCATENATE(F50, ", ", F51)</f>
        <v>2017-2018, All ages, both sexes</v>
      </c>
      <c r="I27" s="15"/>
      <c r="J27" s="15"/>
      <c r="K27" s="15"/>
      <c r="L27" s="15"/>
      <c r="M27" s="15"/>
      <c r="N27" s="15"/>
      <c r="O27" s="15"/>
      <c r="P27" s="15"/>
      <c r="Q27" s="15"/>
      <c r="R27" s="15"/>
      <c r="S27" s="15"/>
      <c r="T27" s="15"/>
      <c r="U27" s="33" t="s">
        <v>173</v>
      </c>
      <c r="V27" s="15"/>
      <c r="W27" s="15"/>
      <c r="X27" s="33" t="str">
        <f>F51</f>
        <v>All ages, both sexes</v>
      </c>
      <c r="Y27" s="15"/>
      <c r="Z27" s="15"/>
      <c r="AA27" s="15"/>
      <c r="AB27" s="15"/>
      <c r="AC27" s="15"/>
      <c r="AD27" s="15"/>
      <c r="AE27" s="15"/>
      <c r="AF27" s="15"/>
      <c r="AG27" s="15"/>
      <c r="AH27" s="16"/>
    </row>
    <row r="28" spans="2:34" x14ac:dyDescent="0.3">
      <c r="B28" s="12" t="s">
        <v>52</v>
      </c>
      <c r="E28" s="21"/>
      <c r="F28" s="29"/>
      <c r="G28" s="28"/>
      <c r="H28" s="29"/>
      <c r="I28" s="36" t="s">
        <v>81</v>
      </c>
      <c r="J28" s="36" t="s">
        <v>53</v>
      </c>
      <c r="K28" s="36" t="s">
        <v>61</v>
      </c>
      <c r="L28" s="36" t="s">
        <v>62</v>
      </c>
      <c r="M28" s="36" t="s">
        <v>82</v>
      </c>
      <c r="N28" s="36" t="s">
        <v>83</v>
      </c>
      <c r="O28" s="36" t="s">
        <v>84</v>
      </c>
      <c r="P28" s="36" t="s">
        <v>85</v>
      </c>
      <c r="Q28" s="36" t="s">
        <v>86</v>
      </c>
      <c r="R28" s="36" t="s">
        <v>67</v>
      </c>
      <c r="S28" s="36" t="s">
        <v>158</v>
      </c>
      <c r="T28" s="15"/>
      <c r="U28" s="29"/>
      <c r="V28" s="36" t="s">
        <v>81</v>
      </c>
      <c r="W28" s="36" t="s">
        <v>53</v>
      </c>
      <c r="X28" s="36" t="s">
        <v>61</v>
      </c>
      <c r="Y28" s="36" t="s">
        <v>62</v>
      </c>
      <c r="Z28" s="36" t="s">
        <v>82</v>
      </c>
      <c r="AA28" s="36" t="s">
        <v>83</v>
      </c>
      <c r="AB28" s="36" t="s">
        <v>84</v>
      </c>
      <c r="AC28" s="36" t="s">
        <v>85</v>
      </c>
      <c r="AD28" s="36" t="s">
        <v>86</v>
      </c>
      <c r="AE28" s="36" t="s">
        <v>67</v>
      </c>
      <c r="AF28" s="36" t="s">
        <v>158</v>
      </c>
      <c r="AG28" s="15"/>
      <c r="AH28" s="16"/>
    </row>
    <row r="29" spans="2:34" x14ac:dyDescent="0.3">
      <c r="B29" s="12" t="s">
        <v>40</v>
      </c>
      <c r="E29" s="21"/>
      <c r="F29" s="12"/>
      <c r="G29" s="12"/>
      <c r="H29" s="22" t="str">
        <f>CONCATENATE(H50,F52,H51,I51,H52)</f>
        <v>Current Smokers</v>
      </c>
      <c r="I29" s="37">
        <f t="shared" ref="I29:S29" si="0">F56</f>
        <v>95648</v>
      </c>
      <c r="J29" s="37">
        <f t="shared" si="0"/>
        <v>21914</v>
      </c>
      <c r="K29" s="37">
        <f t="shared" si="0"/>
        <v>146055</v>
      </c>
      <c r="L29" s="37">
        <f t="shared" si="0"/>
        <v>92813</v>
      </c>
      <c r="M29" s="37">
        <f t="shared" si="0"/>
        <v>1279607</v>
      </c>
      <c r="N29" s="37">
        <f t="shared" si="0"/>
        <v>1861907</v>
      </c>
      <c r="O29" s="37">
        <f t="shared" si="0"/>
        <v>175947</v>
      </c>
      <c r="P29" s="37">
        <f t="shared" si="0"/>
        <v>183190</v>
      </c>
      <c r="Q29" s="37">
        <f t="shared" si="0"/>
        <v>586696</v>
      </c>
      <c r="R29" s="37">
        <f t="shared" si="0"/>
        <v>518964</v>
      </c>
      <c r="S29" s="37">
        <f t="shared" si="0"/>
        <v>4999656</v>
      </c>
      <c r="T29" s="15"/>
      <c r="U29" s="22">
        <v>2000</v>
      </c>
      <c r="V29" s="45">
        <f>IFERROR(AD100,"FAIL")</f>
        <v>0.95092533742101915</v>
      </c>
      <c r="W29" s="45">
        <f>IFERROR(AD101,"FAIL")</f>
        <v>0.91860788004072691</v>
      </c>
      <c r="X29" s="45">
        <f>IFERROR(AD102,"FAIL")</f>
        <v>0.97073311170990417</v>
      </c>
      <c r="Y29" s="45">
        <f>IFERROR(AD103,"FAIL")</f>
        <v>1.0389521966602164</v>
      </c>
      <c r="Z29" s="45">
        <f>IFERROR(AD104,"FAIL")</f>
        <v>0.89678703782092073</v>
      </c>
      <c r="AA29" s="45">
        <f>IFERROR(AD105,"FAIL")</f>
        <v>0.93962392088115632</v>
      </c>
      <c r="AB29" s="45">
        <f>IFERROR(AD106,"FAIL")</f>
        <v>0.95982833298817805</v>
      </c>
      <c r="AC29" s="45">
        <f>IFERROR(AD107,"FAIL")</f>
        <v>0.90255958586475893</v>
      </c>
      <c r="AD29" s="45">
        <f>IFERROR(AD108,"FAIL")</f>
        <v>0.81429619870114145</v>
      </c>
      <c r="AE29" s="45">
        <f>IFERROR(AD109,"FAIL")</f>
        <v>1.2908017273884989</v>
      </c>
      <c r="AF29" s="45">
        <f>IFERROR(AD110,"FAIL")</f>
        <v>0.95256786416862949</v>
      </c>
      <c r="AG29" s="15"/>
      <c r="AH29" s="16"/>
    </row>
    <row r="30" spans="2:34" x14ac:dyDescent="0.3">
      <c r="B30" s="12" t="s">
        <v>10</v>
      </c>
      <c r="E30" s="21"/>
      <c r="F30" s="12"/>
      <c r="G30" s="12"/>
      <c r="H30" s="22" t="s">
        <v>100</v>
      </c>
      <c r="I30" s="37">
        <f t="shared" ref="I30:S30" si="1">F61</f>
        <v>141230</v>
      </c>
      <c r="J30" s="37">
        <f t="shared" si="1"/>
        <v>37232</v>
      </c>
      <c r="K30" s="37">
        <f t="shared" si="1"/>
        <v>231909</v>
      </c>
      <c r="L30" s="37">
        <f t="shared" si="1"/>
        <v>186341</v>
      </c>
      <c r="M30" s="37">
        <f t="shared" si="1"/>
        <v>2036406</v>
      </c>
      <c r="N30" s="37">
        <f t="shared" si="1"/>
        <v>2638858</v>
      </c>
      <c r="O30" s="37">
        <f t="shared" si="1"/>
        <v>236002</v>
      </c>
      <c r="P30" s="37">
        <f t="shared" si="1"/>
        <v>212885</v>
      </c>
      <c r="Q30" s="37">
        <f t="shared" si="1"/>
        <v>807530</v>
      </c>
      <c r="R30" s="37">
        <f t="shared" si="1"/>
        <v>1025334</v>
      </c>
      <c r="S30" s="37">
        <f t="shared" si="1"/>
        <v>7574058</v>
      </c>
      <c r="T30" s="15"/>
      <c r="U30" s="22" t="s">
        <v>128</v>
      </c>
      <c r="V30" s="45">
        <f>IFERROR(AL100,"FAIL")</f>
        <v>1.4765598862495819</v>
      </c>
      <c r="W30" s="45">
        <f>IFERROR(AL101,"FAIL")</f>
        <v>1.6990052021538742</v>
      </c>
      <c r="X30" s="45">
        <f>IFERROR(AL102,"FAIL")</f>
        <v>1.5878196569785354</v>
      </c>
      <c r="Y30" s="45">
        <f>IFERROR(AL103,"FAIL")</f>
        <v>2.0077036622024931</v>
      </c>
      <c r="Z30" s="45">
        <f>IFERROR(AL104,"FAIL")</f>
        <v>1.5914308064898051</v>
      </c>
      <c r="AA30" s="45">
        <f>IFERROR(AL105,"FAIL")</f>
        <v>1.4172877592704685</v>
      </c>
      <c r="AB30" s="45">
        <f>IFERROR(AL106,"FAIL")</f>
        <v>1.3413243760905273</v>
      </c>
      <c r="AC30" s="45">
        <f>IFERROR(AL107,"FAIL")</f>
        <v>1.1620994595774878</v>
      </c>
      <c r="AD30" s="45">
        <f>IFERROR(AL108,"FAIL")</f>
        <v>1.3764027707705524</v>
      </c>
      <c r="AE30" s="45">
        <f>IFERROR(AL109,"FAIL")</f>
        <v>1.9757324207459477</v>
      </c>
      <c r="AF30" s="45">
        <f>IFERROR(AL110,"FAIL")</f>
        <v>1.5149158262088431</v>
      </c>
      <c r="AG30" s="15"/>
      <c r="AH30" s="16"/>
    </row>
    <row r="31" spans="2:34" x14ac:dyDescent="0.3">
      <c r="B31" s="12" t="s">
        <v>157</v>
      </c>
      <c r="E31" s="21"/>
      <c r="F31" s="12"/>
      <c r="G31" s="12"/>
      <c r="H31" s="22" t="s">
        <v>159</v>
      </c>
      <c r="I31" s="45">
        <f t="shared" ref="I31:S32" si="2">IFERROR(I30/I29,"F")</f>
        <v>1.4765598862495819</v>
      </c>
      <c r="J31" s="45">
        <f t="shared" si="2"/>
        <v>1.6990052021538742</v>
      </c>
      <c r="K31" s="45">
        <f t="shared" si="2"/>
        <v>1.5878196569785354</v>
      </c>
      <c r="L31" s="45">
        <f t="shared" si="2"/>
        <v>2.0077036622024931</v>
      </c>
      <c r="M31" s="45">
        <f t="shared" si="2"/>
        <v>1.5914308064898051</v>
      </c>
      <c r="N31" s="45">
        <f t="shared" si="2"/>
        <v>1.4172877592704685</v>
      </c>
      <c r="O31" s="45">
        <f t="shared" si="2"/>
        <v>1.3413243760905273</v>
      </c>
      <c r="P31" s="45">
        <f t="shared" si="2"/>
        <v>1.1620994595774878</v>
      </c>
      <c r="Q31" s="45">
        <f t="shared" si="2"/>
        <v>1.3764027707705524</v>
      </c>
      <c r="R31" s="45">
        <f t="shared" si="2"/>
        <v>1.9757324207459477</v>
      </c>
      <c r="S31" s="45">
        <f t="shared" si="2"/>
        <v>1.5149158262088431</v>
      </c>
      <c r="T31" s="15"/>
      <c r="U31" s="22" t="s">
        <v>174</v>
      </c>
      <c r="V31" s="278">
        <f>IFERROR((V30-V29)/V29,"FAIL")</f>
        <v>0.55276111398411476</v>
      </c>
      <c r="W31" s="278">
        <f t="shared" ref="W31:AF31" si="3">IFERROR((W30-W29)/W29,"FAIL")</f>
        <v>0.84954346579146256</v>
      </c>
      <c r="X31" s="278">
        <f t="shared" si="3"/>
        <v>0.63569125007146421</v>
      </c>
      <c r="Y31" s="278">
        <f t="shared" si="3"/>
        <v>0.93243122124039501</v>
      </c>
      <c r="Z31" s="278">
        <f t="shared" si="3"/>
        <v>0.77459166934078461</v>
      </c>
      <c r="AA31" s="278">
        <f t="shared" si="3"/>
        <v>0.50835640491290457</v>
      </c>
      <c r="AB31" s="278">
        <f t="shared" si="3"/>
        <v>0.39746278578239064</v>
      </c>
      <c r="AC31" s="278">
        <f t="shared" si="3"/>
        <v>0.28755982184163387</v>
      </c>
      <c r="AD31" s="278">
        <f t="shared" si="3"/>
        <v>0.6902974285843525</v>
      </c>
      <c r="AE31" s="278">
        <f t="shared" si="3"/>
        <v>0.53062424602047498</v>
      </c>
      <c r="AF31" s="278">
        <f t="shared" si="3"/>
        <v>0.59034949969786432</v>
      </c>
      <c r="AG31" s="15"/>
      <c r="AH31" s="16"/>
    </row>
    <row r="32" spans="2:34" x14ac:dyDescent="0.3">
      <c r="B32" s="12" t="s">
        <v>79</v>
      </c>
      <c r="E32" s="21"/>
      <c r="F32" s="12"/>
      <c r="G32" s="12"/>
      <c r="H32" s="22" t="s">
        <v>190</v>
      </c>
      <c r="I32" s="278">
        <f>I29/(I29+I30)</f>
        <v>0.40378591511242073</v>
      </c>
      <c r="J32" s="278">
        <f t="shared" ref="J32:R32" si="4">J29/(J29+J30)</f>
        <v>0.37050688127684034</v>
      </c>
      <c r="K32" s="278">
        <f t="shared" si="4"/>
        <v>0.38642569133568277</v>
      </c>
      <c r="L32" s="278">
        <f t="shared" si="4"/>
        <v>0.33247956325182515</v>
      </c>
      <c r="M32" s="278">
        <f t="shared" si="4"/>
        <v>0.38588720852421265</v>
      </c>
      <c r="N32" s="278">
        <f t="shared" si="4"/>
        <v>0.41368678435777029</v>
      </c>
      <c r="O32" s="278">
        <f t="shared" si="4"/>
        <v>0.42710869549385966</v>
      </c>
      <c r="P32" s="278">
        <f t="shared" si="4"/>
        <v>0.46251341286372533</v>
      </c>
      <c r="Q32" s="278">
        <f t="shared" si="4"/>
        <v>0.42080408771605177</v>
      </c>
      <c r="R32" s="278">
        <f t="shared" si="4"/>
        <v>0.33605172058760679</v>
      </c>
      <c r="S32" s="45">
        <f t="shared" si="2"/>
        <v>2.0001376094675314E-7</v>
      </c>
      <c r="T32" s="15"/>
      <c r="U32" s="15"/>
      <c r="V32" s="15"/>
      <c r="W32" s="15"/>
      <c r="X32" s="15"/>
      <c r="Y32" s="15"/>
      <c r="Z32" s="15"/>
      <c r="AA32" s="15"/>
      <c r="AB32" s="15"/>
      <c r="AC32" s="15"/>
      <c r="AD32" s="15"/>
      <c r="AE32" s="15"/>
      <c r="AF32" s="15"/>
      <c r="AG32" s="15"/>
      <c r="AH32" s="16"/>
    </row>
    <row r="33" spans="2:34" x14ac:dyDescent="0.3">
      <c r="B33" s="89">
        <v>1</v>
      </c>
      <c r="E33" s="21"/>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6"/>
    </row>
    <row r="34" spans="2:34" x14ac:dyDescent="0.3">
      <c r="E34" s="21"/>
      <c r="F34" s="29"/>
      <c r="G34" s="28"/>
      <c r="H34" s="29" t="s">
        <v>14</v>
      </c>
      <c r="I34" s="36" t="s">
        <v>81</v>
      </c>
      <c r="J34" s="36" t="s">
        <v>53</v>
      </c>
      <c r="K34" s="36" t="s">
        <v>61</v>
      </c>
      <c r="L34" s="36" t="s">
        <v>62</v>
      </c>
      <c r="M34" s="36" t="s">
        <v>82</v>
      </c>
      <c r="N34" s="36" t="s">
        <v>83</v>
      </c>
      <c r="O34" s="36" t="s">
        <v>84</v>
      </c>
      <c r="P34" s="36" t="s">
        <v>85</v>
      </c>
      <c r="Q34" s="36" t="s">
        <v>86</v>
      </c>
      <c r="R34" s="36" t="s">
        <v>67</v>
      </c>
      <c r="S34" s="36" t="s">
        <v>158</v>
      </c>
      <c r="T34" s="15"/>
      <c r="U34" s="15"/>
      <c r="V34" s="15"/>
      <c r="W34" s="15"/>
      <c r="X34" s="15"/>
      <c r="Y34" s="15"/>
      <c r="Z34" s="15"/>
      <c r="AA34" s="15"/>
      <c r="AB34" s="15"/>
      <c r="AC34" s="15"/>
      <c r="AD34" s="15"/>
      <c r="AE34" s="15"/>
      <c r="AF34" s="15"/>
      <c r="AG34" s="15"/>
      <c r="AH34" s="16"/>
    </row>
    <row r="35" spans="2:34" x14ac:dyDescent="0.3">
      <c r="B35" s="6" t="s">
        <v>77</v>
      </c>
      <c r="E35" s="21"/>
      <c r="F35" s="12"/>
      <c r="G35" s="12"/>
      <c r="H35" s="22" t="str">
        <f>H29</f>
        <v>Current Smokers</v>
      </c>
      <c r="I35" s="37">
        <f>IFERROR(F57,"FAIL")</f>
        <v>9182.2079999999987</v>
      </c>
      <c r="J35" s="37">
        <f t="shared" ref="J35:R35" si="5">IFERROR(G57,"FAIL")</f>
        <v>2761.1639999999998</v>
      </c>
      <c r="K35" s="37">
        <f t="shared" si="5"/>
        <v>13437.06</v>
      </c>
      <c r="L35" s="37">
        <f t="shared" si="5"/>
        <v>10580.681999999999</v>
      </c>
      <c r="M35" s="37">
        <f t="shared" si="5"/>
        <v>63980.35</v>
      </c>
      <c r="N35" s="37">
        <f t="shared" si="5"/>
        <v>96819.164000000004</v>
      </c>
      <c r="O35" s="37">
        <f t="shared" si="5"/>
        <v>18298.488000000001</v>
      </c>
      <c r="P35" s="37">
        <f t="shared" si="5"/>
        <v>17952.620000000003</v>
      </c>
      <c r="Q35" s="37">
        <f t="shared" si="5"/>
        <v>15254.096000000001</v>
      </c>
      <c r="R35" s="37">
        <f t="shared" si="5"/>
        <v>36327.480000000003</v>
      </c>
      <c r="S35" s="37">
        <f>P57</f>
        <v>129991.056</v>
      </c>
      <c r="T35" s="15"/>
      <c r="U35" s="15"/>
      <c r="V35" s="15"/>
      <c r="W35" s="15"/>
      <c r="X35" s="15"/>
      <c r="Y35" s="15"/>
      <c r="Z35" s="15"/>
      <c r="AA35" s="15"/>
      <c r="AB35" s="15"/>
      <c r="AC35" s="15"/>
      <c r="AD35" s="15"/>
      <c r="AE35" s="15"/>
      <c r="AF35" s="15"/>
      <c r="AG35" s="15"/>
      <c r="AH35" s="16"/>
    </row>
    <row r="36" spans="2:34" x14ac:dyDescent="0.2">
      <c r="B36" s="4">
        <f>IF(B12=1,0,(IF(B12=2,5,(IF(B12=3,10,(IF(B12=4,15,(IF(B12=5,20,(IF(B12=6,25,(IF(B12=7,30,35)))))))))))))</f>
        <v>25</v>
      </c>
      <c r="E36" s="21"/>
      <c r="F36" s="12"/>
      <c r="G36" s="12"/>
      <c r="H36" s="22" t="str">
        <f>H30</f>
        <v>Former Smokers</v>
      </c>
      <c r="I36" s="37">
        <f>IFERROR(F62,"FAIL")</f>
        <v>7080.1720000000005</v>
      </c>
      <c r="J36" s="37">
        <f t="shared" ref="J36:S36" si="6">IFERROR(G62,"FAIL")</f>
        <v>2427.5919999999996</v>
      </c>
      <c r="K36" s="37">
        <f t="shared" si="6"/>
        <v>11319.951999999999</v>
      </c>
      <c r="L36" s="37">
        <f t="shared" si="6"/>
        <v>10096.353999999999</v>
      </c>
      <c r="M36" s="37">
        <f t="shared" si="6"/>
        <v>55872.733999999997</v>
      </c>
      <c r="N36" s="37">
        <f t="shared" si="6"/>
        <v>98283.371999999988</v>
      </c>
      <c r="O36" s="37">
        <f t="shared" si="6"/>
        <v>15137.604000000001</v>
      </c>
      <c r="P36" s="37">
        <f t="shared" si="6"/>
        <v>14278.11</v>
      </c>
      <c r="Q36" s="37">
        <f t="shared" si="6"/>
        <v>14494.56</v>
      </c>
      <c r="R36" s="37">
        <f t="shared" si="6"/>
        <v>37224.81</v>
      </c>
      <c r="S36" s="37">
        <f t="shared" si="6"/>
        <v>126798.56</v>
      </c>
      <c r="T36" s="15"/>
      <c r="U36" s="15"/>
      <c r="V36" s="15"/>
      <c r="W36" s="15"/>
      <c r="X36" s="15"/>
      <c r="Y36" s="15"/>
      <c r="Z36" s="15"/>
      <c r="AA36" s="15"/>
      <c r="AB36" s="15"/>
      <c r="AC36" s="15"/>
      <c r="AD36" s="15"/>
      <c r="AE36" s="15"/>
      <c r="AF36" s="15"/>
      <c r="AG36" s="15"/>
      <c r="AH36" s="16"/>
    </row>
    <row r="37" spans="2:34" ht="15.6" x14ac:dyDescent="0.3">
      <c r="B37" s="6" t="s">
        <v>80</v>
      </c>
      <c r="E37" s="21"/>
      <c r="F37" s="12"/>
      <c r="G37" s="12"/>
      <c r="H37" s="22" t="s">
        <v>39</v>
      </c>
      <c r="I37" s="45">
        <f>S60</f>
        <v>0.26047788681545408</v>
      </c>
      <c r="J37" s="45">
        <f t="shared" ref="J37:R37" si="7">T60</f>
        <v>0.33544059984944014</v>
      </c>
      <c r="K37" s="45">
        <f t="shared" si="7"/>
        <v>0.22286110895089442</v>
      </c>
      <c r="L37" s="45">
        <f t="shared" si="7"/>
        <v>0.33523240742322313</v>
      </c>
      <c r="M37" s="45">
        <f t="shared" si="7"/>
        <v>0.12186661313689594</v>
      </c>
      <c r="N37" s="45">
        <f t="shared" si="7"/>
        <v>0.11908591194427665</v>
      </c>
      <c r="O37" s="45">
        <f t="shared" si="7"/>
        <v>0.20698160682069125</v>
      </c>
      <c r="P37" s="45">
        <f t="shared" si="7"/>
        <v>0.17120371707803858</v>
      </c>
      <c r="Q37" s="45">
        <f t="shared" si="7"/>
        <v>5.6750540072797999E-2</v>
      </c>
      <c r="R37" s="45">
        <f t="shared" si="7"/>
        <v>0.19558753095274017</v>
      </c>
      <c r="S37" s="45">
        <f>AC60</f>
        <v>6.2461579653789075E-2</v>
      </c>
      <c r="T37" s="15"/>
      <c r="U37" s="211" t="s">
        <v>146</v>
      </c>
      <c r="V37" s="15"/>
      <c r="W37" s="15"/>
      <c r="X37" s="15"/>
      <c r="Y37" s="15"/>
      <c r="Z37" s="15"/>
      <c r="AA37" s="15"/>
      <c r="AB37" s="15"/>
      <c r="AC37" s="15"/>
      <c r="AD37" s="15"/>
      <c r="AE37" s="15"/>
      <c r="AF37" s="15"/>
      <c r="AG37" s="15"/>
      <c r="AH37" s="16"/>
    </row>
    <row r="38" spans="2:34" x14ac:dyDescent="0.2">
      <c r="B38" s="4">
        <f>cyclevalue-1</f>
        <v>8</v>
      </c>
      <c r="E38" s="21"/>
      <c r="F38" s="15"/>
      <c r="G38" s="15"/>
      <c r="H38" s="15"/>
      <c r="I38" s="15"/>
      <c r="J38" s="15"/>
      <c r="K38" s="15"/>
      <c r="L38" s="15"/>
      <c r="M38" s="15"/>
      <c r="N38" s="15"/>
      <c r="O38" s="15"/>
      <c r="P38" s="15"/>
      <c r="Q38" s="15"/>
      <c r="R38" s="15"/>
      <c r="S38" s="15"/>
      <c r="T38" s="15"/>
      <c r="U38" s="260" t="s">
        <v>147</v>
      </c>
      <c r="V38" s="15"/>
      <c r="W38" s="15"/>
      <c r="X38" s="15"/>
      <c r="Y38" s="15"/>
      <c r="Z38" s="15"/>
      <c r="AA38" s="15"/>
      <c r="AB38" s="15"/>
      <c r="AC38" s="260"/>
      <c r="AD38" s="15"/>
      <c r="AE38" s="15"/>
      <c r="AF38" s="15"/>
      <c r="AG38" s="15"/>
      <c r="AH38" s="16"/>
    </row>
    <row r="39" spans="2:34" x14ac:dyDescent="0.2">
      <c r="B39" s="1" t="s">
        <v>118</v>
      </c>
      <c r="E39" s="21"/>
      <c r="F39" s="15"/>
      <c r="G39" s="15"/>
      <c r="H39" s="15"/>
      <c r="I39" s="15"/>
      <c r="J39" s="15"/>
      <c r="K39" s="15"/>
      <c r="L39" s="15"/>
      <c r="M39" s="15"/>
      <c r="N39" s="15"/>
      <c r="O39" s="15"/>
      <c r="P39" s="15"/>
      <c r="Q39" s="15"/>
      <c r="R39" s="15"/>
      <c r="S39" s="15"/>
      <c r="T39" s="15"/>
      <c r="U39" s="229" t="s">
        <v>148</v>
      </c>
      <c r="V39" s="15"/>
      <c r="W39" s="15"/>
      <c r="X39" s="15"/>
      <c r="Y39" s="15"/>
      <c r="Z39" s="15"/>
      <c r="AA39" s="15"/>
      <c r="AB39" s="15"/>
      <c r="AC39" s="260" t="s">
        <v>175</v>
      </c>
      <c r="AD39" s="15"/>
      <c r="AE39" s="15"/>
      <c r="AF39" s="15"/>
      <c r="AG39" s="15"/>
      <c r="AH39" s="16"/>
    </row>
    <row r="40" spans="2:34" x14ac:dyDescent="0.25">
      <c r="B40" s="4">
        <f>behaviour2value-1</f>
        <v>0</v>
      </c>
      <c r="E40" s="21"/>
      <c r="F40" s="15"/>
      <c r="G40" s="15"/>
      <c r="H40" s="32"/>
      <c r="I40" s="34"/>
      <c r="J40" s="15"/>
      <c r="K40" s="32"/>
      <c r="L40" s="38"/>
      <c r="M40" s="15"/>
      <c r="N40" s="15"/>
      <c r="O40" s="15"/>
      <c r="P40" s="15"/>
      <c r="Q40" s="15"/>
      <c r="R40" s="32"/>
      <c r="S40" s="35"/>
      <c r="T40" s="15"/>
      <c r="U40" s="260" t="s">
        <v>153</v>
      </c>
      <c r="V40" s="15"/>
      <c r="W40" s="15"/>
      <c r="X40" s="15"/>
      <c r="Y40" s="15"/>
      <c r="Z40" s="15"/>
      <c r="AA40" s="15"/>
      <c r="AB40" s="15"/>
      <c r="AC40" s="279" t="s">
        <v>176</v>
      </c>
      <c r="AD40" s="279" t="s">
        <v>26</v>
      </c>
      <c r="AE40" s="15"/>
      <c r="AF40" s="15"/>
      <c r="AG40" s="15"/>
      <c r="AH40" s="16"/>
    </row>
    <row r="41" spans="2:34" x14ac:dyDescent="0.25">
      <c r="B41" s="1"/>
      <c r="E41" s="21"/>
      <c r="F41" s="15"/>
      <c r="G41" s="95"/>
      <c r="H41" s="32" t="s">
        <v>102</v>
      </c>
      <c r="I41" s="96"/>
      <c r="J41" s="96"/>
      <c r="K41" s="96"/>
      <c r="L41" s="96"/>
      <c r="M41" s="96"/>
      <c r="N41" s="96"/>
      <c r="O41" s="96"/>
      <c r="P41" s="96"/>
      <c r="Q41" s="96"/>
      <c r="R41" s="96"/>
      <c r="S41" s="97"/>
      <c r="T41" s="15"/>
      <c r="U41" s="229" t="s">
        <v>154</v>
      </c>
      <c r="V41" s="15"/>
      <c r="W41" s="15"/>
      <c r="X41" s="15"/>
      <c r="Y41" s="15"/>
      <c r="Z41" s="15"/>
      <c r="AA41" s="15"/>
      <c r="AB41" s="15"/>
      <c r="AC41" s="279" t="s">
        <v>129</v>
      </c>
      <c r="AD41" s="279" t="s">
        <v>177</v>
      </c>
      <c r="AE41" s="15"/>
      <c r="AF41" s="15"/>
      <c r="AG41" s="15"/>
      <c r="AH41" s="16"/>
    </row>
    <row r="42" spans="2:34" x14ac:dyDescent="0.3">
      <c r="B42" s="12"/>
      <c r="E42" s="21"/>
      <c r="F42" s="15"/>
      <c r="G42" s="72"/>
      <c r="H42" s="32" t="str">
        <f>H29</f>
        <v>Current Smokers</v>
      </c>
      <c r="I42" s="71">
        <f>IF(F58&lt;16.6,0,IF(F58&lt;33.4,"E", "F"))</f>
        <v>0</v>
      </c>
      <c r="J42" s="71">
        <f t="shared" ref="J42:S42" si="8">IF(G58&lt;16.6,0,IF(G58&lt;33.4,"E", "F"))</f>
        <v>0</v>
      </c>
      <c r="K42" s="71">
        <f t="shared" si="8"/>
        <v>0</v>
      </c>
      <c r="L42" s="71">
        <f t="shared" si="8"/>
        <v>0</v>
      </c>
      <c r="M42" s="71">
        <f t="shared" si="8"/>
        <v>0</v>
      </c>
      <c r="N42" s="71">
        <f t="shared" si="8"/>
        <v>0</v>
      </c>
      <c r="O42" s="71">
        <f t="shared" si="8"/>
        <v>0</v>
      </c>
      <c r="P42" s="71">
        <f t="shared" si="8"/>
        <v>0</v>
      </c>
      <c r="Q42" s="71">
        <f t="shared" si="8"/>
        <v>0</v>
      </c>
      <c r="R42" s="71">
        <f t="shared" si="8"/>
        <v>0</v>
      </c>
      <c r="S42" s="94">
        <f t="shared" si="8"/>
        <v>0</v>
      </c>
      <c r="T42" s="15"/>
      <c r="U42" s="260" t="s">
        <v>39</v>
      </c>
      <c r="V42" s="15"/>
      <c r="W42" s="15"/>
      <c r="X42" s="15"/>
      <c r="Y42" s="15"/>
      <c r="Z42" s="15"/>
      <c r="AA42" s="15"/>
      <c r="AB42" s="15"/>
      <c r="AC42" s="15"/>
      <c r="AD42" s="15"/>
      <c r="AE42" s="15"/>
      <c r="AF42" s="15"/>
      <c r="AG42" s="15"/>
      <c r="AH42" s="16"/>
    </row>
    <row r="43" spans="2:34" x14ac:dyDescent="0.3">
      <c r="B43" s="12"/>
      <c r="E43" s="21"/>
      <c r="F43" s="15"/>
      <c r="G43" s="93"/>
      <c r="H43" s="32" t="str">
        <f>H30</f>
        <v>Former Smokers</v>
      </c>
      <c r="I43" s="71">
        <f t="shared" ref="I43:S43" si="9">IF(F63&lt;16.6,0,IF(F63&lt;33.4,"E", "F"))</f>
        <v>0</v>
      </c>
      <c r="J43" s="71">
        <f t="shared" si="9"/>
        <v>0</v>
      </c>
      <c r="K43" s="71">
        <f t="shared" si="9"/>
        <v>0</v>
      </c>
      <c r="L43" s="71">
        <f t="shared" si="9"/>
        <v>0</v>
      </c>
      <c r="M43" s="71">
        <f t="shared" si="9"/>
        <v>0</v>
      </c>
      <c r="N43" s="71">
        <f t="shared" si="9"/>
        <v>0</v>
      </c>
      <c r="O43" s="71">
        <f t="shared" si="9"/>
        <v>0</v>
      </c>
      <c r="P43" s="71">
        <f t="shared" si="9"/>
        <v>0</v>
      </c>
      <c r="Q43" s="71">
        <f t="shared" si="9"/>
        <v>0</v>
      </c>
      <c r="R43" s="71">
        <f t="shared" si="9"/>
        <v>0</v>
      </c>
      <c r="S43" s="94">
        <f t="shared" si="9"/>
        <v>0</v>
      </c>
      <c r="T43" s="15"/>
      <c r="U43" s="229" t="s">
        <v>172</v>
      </c>
      <c r="V43" s="15"/>
      <c r="W43" s="15"/>
      <c r="X43" s="15"/>
      <c r="Y43" s="15"/>
      <c r="Z43" s="15"/>
      <c r="AA43" s="15"/>
      <c r="AB43" s="15"/>
      <c r="AC43" s="15"/>
      <c r="AD43" s="15"/>
      <c r="AE43" s="15"/>
      <c r="AF43" s="15"/>
      <c r="AG43" s="15"/>
      <c r="AH43" s="16"/>
    </row>
    <row r="44" spans="2:34" x14ac:dyDescent="0.3">
      <c r="B44" s="12"/>
      <c r="E44" s="21"/>
      <c r="F44" s="15"/>
      <c r="G44" s="48"/>
      <c r="H44" s="49" t="str">
        <f>H31</f>
        <v>Quit Ratio (former / current smokers)</v>
      </c>
      <c r="I44" s="51">
        <f t="shared" ref="I44:S44" si="10">IF(S58&lt;16.6,0,IF(S58&lt;33.4,"E", "F"))</f>
        <v>0</v>
      </c>
      <c r="J44" s="51">
        <f>IF(T58&lt;16.6,0,IF(T58&lt;33.4,"E", "F"))</f>
        <v>0</v>
      </c>
      <c r="K44" s="51">
        <f t="shared" si="10"/>
        <v>0</v>
      </c>
      <c r="L44" s="51">
        <f t="shared" si="10"/>
        <v>0</v>
      </c>
      <c r="M44" s="51">
        <f t="shared" si="10"/>
        <v>0</v>
      </c>
      <c r="N44" s="51">
        <f t="shared" si="10"/>
        <v>0</v>
      </c>
      <c r="O44" s="51">
        <f t="shared" si="10"/>
        <v>0</v>
      </c>
      <c r="P44" s="51">
        <f t="shared" si="10"/>
        <v>0</v>
      </c>
      <c r="Q44" s="51">
        <f t="shared" si="10"/>
        <v>0</v>
      </c>
      <c r="R44" s="51">
        <f t="shared" si="10"/>
        <v>0</v>
      </c>
      <c r="S44" s="92">
        <f t="shared" si="10"/>
        <v>0</v>
      </c>
      <c r="T44" s="15"/>
      <c r="U44" s="15"/>
      <c r="V44" s="15"/>
      <c r="W44" s="15"/>
      <c r="X44" s="15"/>
      <c r="Y44" s="15"/>
      <c r="Z44" s="15"/>
      <c r="AA44" s="15"/>
      <c r="AB44" s="15"/>
      <c r="AC44" s="15"/>
      <c r="AD44" s="15"/>
      <c r="AE44" s="15"/>
      <c r="AF44" s="15"/>
      <c r="AG44" s="15"/>
      <c r="AH44" s="16"/>
    </row>
    <row r="45" spans="2:34" ht="15" thickBot="1" x14ac:dyDescent="0.35">
      <c r="B45" s="12"/>
      <c r="E45" s="17"/>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9"/>
    </row>
    <row r="46" spans="2:34" s="12" customFormat="1" ht="10.199999999999999" x14ac:dyDescent="0.3">
      <c r="B46" s="7"/>
    </row>
    <row r="47" spans="2:34" s="12" customFormat="1" ht="10.199999999999999" x14ac:dyDescent="0.3">
      <c r="B47" s="7"/>
    </row>
    <row r="48" spans="2:34" s="23" customFormat="1" ht="25.8" x14ac:dyDescent="0.3">
      <c r="B48" s="54"/>
      <c r="C48" s="25" t="s">
        <v>13</v>
      </c>
      <c r="E48" s="24"/>
    </row>
    <row r="49" spans="2:29" s="12" customFormat="1" ht="10.199999999999999" x14ac:dyDescent="0.3">
      <c r="B49" s="7"/>
    </row>
    <row r="50" spans="2:29" s="12" customFormat="1" ht="13.8" x14ac:dyDescent="0.3">
      <c r="B50" s="7"/>
      <c r="E50" s="12" t="s">
        <v>96</v>
      </c>
      <c r="F50" s="52" t="str">
        <f>INDEX(Cycleb,cyclevalue)</f>
        <v>2017-2018</v>
      </c>
    </row>
    <row r="51" spans="2:29" s="12" customFormat="1" ht="13.8" x14ac:dyDescent="0.3">
      <c r="B51" s="7"/>
      <c r="E51" s="22" t="s">
        <v>77</v>
      </c>
      <c r="F51" s="52" t="str">
        <f>INDEX(population2,population2value)</f>
        <v>All ages, both sexes</v>
      </c>
      <c r="G51" s="12" t="s">
        <v>24</v>
      </c>
      <c r="I51" s="52"/>
    </row>
    <row r="52" spans="2:29" s="12" customFormat="1" ht="13.8" x14ac:dyDescent="0.3">
      <c r="B52" s="7"/>
      <c r="E52" s="22" t="s">
        <v>87</v>
      </c>
      <c r="F52" s="52" t="s">
        <v>119</v>
      </c>
      <c r="G52" s="12" t="s">
        <v>24</v>
      </c>
      <c r="I52" s="52" t="s">
        <v>100</v>
      </c>
      <c r="L52" s="52" t="s">
        <v>39</v>
      </c>
    </row>
    <row r="53" spans="2:29" s="12" customFormat="1" x14ac:dyDescent="0.3">
      <c r="B53" s="7"/>
      <c r="E53" s="22"/>
      <c r="F53" s="53" t="s">
        <v>49</v>
      </c>
      <c r="L53" s="52" t="str">
        <f>CONCATENATE("Provincial Comparison 2000-2018, Quit Ratio, ", F51)</f>
        <v>Provincial Comparison 2000-2018, Quit Ratio, All ages, both sexes</v>
      </c>
    </row>
    <row r="54" spans="2:29" s="12" customFormat="1" x14ac:dyDescent="0.3">
      <c r="B54" s="7"/>
      <c r="E54" s="22"/>
      <c r="F54" s="53" t="s">
        <v>50</v>
      </c>
      <c r="J54" s="52"/>
      <c r="K54" s="52"/>
      <c r="L54" s="52" t="str">
        <f>CONCATENATE("Provincial Comparison of Quit Ratio, ", F51, ", ", F50)</f>
        <v>Provincial Comparison of Quit Ratio, All ages, both sexes, 2017-2018</v>
      </c>
      <c r="P54" s="26" t="str">
        <f>CONCATENATE(P55,G52,F51, G51, F52, G51, F53)</f>
        <v>Canada, All ages, both sexes, Current Smokers, Share of current smoking burden</v>
      </c>
    </row>
    <row r="55" spans="2:29" s="12" customFormat="1" x14ac:dyDescent="0.3">
      <c r="B55" s="7"/>
      <c r="C55" s="12" t="s">
        <v>117</v>
      </c>
      <c r="D55" s="30"/>
      <c r="E55" s="43" t="s">
        <v>11</v>
      </c>
      <c r="F55" s="42" t="s">
        <v>81</v>
      </c>
      <c r="G55" s="42" t="s">
        <v>53</v>
      </c>
      <c r="H55" s="42" t="s">
        <v>61</v>
      </c>
      <c r="I55" s="42" t="s">
        <v>62</v>
      </c>
      <c r="J55" s="42" t="s">
        <v>82</v>
      </c>
      <c r="K55" s="42" t="s">
        <v>83</v>
      </c>
      <c r="L55" s="42" t="s">
        <v>98</v>
      </c>
      <c r="M55" s="42" t="s">
        <v>85</v>
      </c>
      <c r="N55" s="42" t="s">
        <v>86</v>
      </c>
      <c r="O55" s="42" t="s">
        <v>67</v>
      </c>
      <c r="P55" s="43" t="s">
        <v>158</v>
      </c>
      <c r="R55" s="90" t="s">
        <v>39</v>
      </c>
      <c r="S55" s="42" t="s">
        <v>81</v>
      </c>
      <c r="T55" s="42" t="s">
        <v>53</v>
      </c>
      <c r="U55" s="42" t="s">
        <v>61</v>
      </c>
      <c r="V55" s="42" t="s">
        <v>62</v>
      </c>
      <c r="W55" s="42" t="s">
        <v>82</v>
      </c>
      <c r="X55" s="42" t="s">
        <v>83</v>
      </c>
      <c r="Y55" s="42" t="s">
        <v>98</v>
      </c>
      <c r="Z55" s="42" t="s">
        <v>85</v>
      </c>
      <c r="AA55" s="42" t="s">
        <v>86</v>
      </c>
      <c r="AB55" s="42" t="s">
        <v>67</v>
      </c>
      <c r="AC55" s="43" t="s">
        <v>158</v>
      </c>
    </row>
    <row r="56" spans="2:29" s="12" customFormat="1" ht="10.199999999999999" x14ac:dyDescent="0.3">
      <c r="B56" s="7"/>
      <c r="E56" s="22" t="s">
        <v>119</v>
      </c>
      <c r="F56" s="2">
        <f>F72</f>
        <v>95648</v>
      </c>
      <c r="G56" s="2">
        <f t="shared" ref="G56:P56" si="11">G72</f>
        <v>21914</v>
      </c>
      <c r="H56" s="2">
        <f t="shared" si="11"/>
        <v>146055</v>
      </c>
      <c r="I56" s="2">
        <f t="shared" si="11"/>
        <v>92813</v>
      </c>
      <c r="J56" s="2">
        <f t="shared" si="11"/>
        <v>1279607</v>
      </c>
      <c r="K56" s="2">
        <f t="shared" si="11"/>
        <v>1861907</v>
      </c>
      <c r="L56" s="2">
        <f t="shared" si="11"/>
        <v>175947</v>
      </c>
      <c r="M56" s="2">
        <f t="shared" si="11"/>
        <v>183190</v>
      </c>
      <c r="N56" s="2">
        <f t="shared" si="11"/>
        <v>586696</v>
      </c>
      <c r="O56" s="2">
        <f t="shared" si="11"/>
        <v>518964</v>
      </c>
      <c r="P56" s="2">
        <f t="shared" si="11"/>
        <v>4999656</v>
      </c>
      <c r="R56" s="40"/>
      <c r="S56" s="90">
        <f t="shared" ref="S56:AC56" si="12">IFERROR(F61/F56,"F")</f>
        <v>1.4765598862495819</v>
      </c>
      <c r="T56" s="90">
        <f t="shared" si="12"/>
        <v>1.6990052021538742</v>
      </c>
      <c r="U56" s="90">
        <f t="shared" si="12"/>
        <v>1.5878196569785354</v>
      </c>
      <c r="V56" s="90">
        <f t="shared" si="12"/>
        <v>2.0077036622024931</v>
      </c>
      <c r="W56" s="90">
        <f t="shared" si="12"/>
        <v>1.5914308064898051</v>
      </c>
      <c r="X56" s="90">
        <f t="shared" si="12"/>
        <v>1.4172877592704685</v>
      </c>
      <c r="Y56" s="90">
        <f t="shared" si="12"/>
        <v>1.3413243760905273</v>
      </c>
      <c r="Z56" s="90">
        <f t="shared" si="12"/>
        <v>1.1620994595774878</v>
      </c>
      <c r="AA56" s="90">
        <f t="shared" si="12"/>
        <v>1.3764027707705524</v>
      </c>
      <c r="AB56" s="90">
        <f t="shared" si="12"/>
        <v>1.9757324207459477</v>
      </c>
      <c r="AC56" s="90">
        <f t="shared" si="12"/>
        <v>1.5149158262088431</v>
      </c>
    </row>
    <row r="57" spans="2:29" s="12" customFormat="1" ht="10.199999999999999" x14ac:dyDescent="0.3">
      <c r="B57" s="7"/>
      <c r="E57" s="22" t="s">
        <v>94</v>
      </c>
      <c r="F57" s="2">
        <f>F81</f>
        <v>9182.2079999999987</v>
      </c>
      <c r="G57" s="2">
        <f t="shared" ref="G57:O57" si="13">G81</f>
        <v>2761.1639999999998</v>
      </c>
      <c r="H57" s="2">
        <f t="shared" si="13"/>
        <v>13437.06</v>
      </c>
      <c r="I57" s="2">
        <f t="shared" si="13"/>
        <v>10580.681999999999</v>
      </c>
      <c r="J57" s="2">
        <f t="shared" si="13"/>
        <v>63980.35</v>
      </c>
      <c r="K57" s="2">
        <f t="shared" si="13"/>
        <v>96819.164000000004</v>
      </c>
      <c r="L57" s="2">
        <f t="shared" si="13"/>
        <v>18298.488000000001</v>
      </c>
      <c r="M57" s="2">
        <f t="shared" si="13"/>
        <v>17952.620000000003</v>
      </c>
      <c r="N57" s="2">
        <f t="shared" si="13"/>
        <v>15254.096000000001</v>
      </c>
      <c r="O57" s="2">
        <f t="shared" si="13"/>
        <v>36327.480000000003</v>
      </c>
      <c r="P57" s="2">
        <f>P81</f>
        <v>129991.056</v>
      </c>
      <c r="R57" s="40"/>
      <c r="S57" s="90"/>
      <c r="T57" s="90"/>
      <c r="U57" s="90"/>
      <c r="V57" s="90"/>
      <c r="W57" s="90"/>
      <c r="X57" s="90"/>
      <c r="Y57" s="90"/>
      <c r="Z57" s="90"/>
      <c r="AA57" s="90"/>
      <c r="AB57" s="90"/>
      <c r="AC57" s="90"/>
    </row>
    <row r="58" spans="2:29" s="12" customFormat="1" ht="10.199999999999999" x14ac:dyDescent="0.3">
      <c r="B58" s="7"/>
      <c r="E58" s="22" t="s">
        <v>95</v>
      </c>
      <c r="F58" s="2">
        <f>F90</f>
        <v>4.8</v>
      </c>
      <c r="G58" s="2">
        <f t="shared" ref="G58:P58" si="14">G90</f>
        <v>6.3</v>
      </c>
      <c r="H58" s="2">
        <f t="shared" si="14"/>
        <v>4.5999999999999996</v>
      </c>
      <c r="I58" s="2">
        <f t="shared" si="14"/>
        <v>5.7</v>
      </c>
      <c r="J58" s="2">
        <f t="shared" si="14"/>
        <v>2.5</v>
      </c>
      <c r="K58" s="2">
        <f t="shared" si="14"/>
        <v>2.6</v>
      </c>
      <c r="L58" s="2">
        <f t="shared" si="14"/>
        <v>5.2</v>
      </c>
      <c r="M58" s="2">
        <f t="shared" si="14"/>
        <v>4.9000000000000004</v>
      </c>
      <c r="N58" s="2">
        <f t="shared" si="14"/>
        <v>1.3</v>
      </c>
      <c r="O58" s="2">
        <f t="shared" si="14"/>
        <v>3.5</v>
      </c>
      <c r="P58" s="2">
        <f t="shared" si="14"/>
        <v>1.3</v>
      </c>
      <c r="R58" s="40" t="s">
        <v>101</v>
      </c>
      <c r="S58" s="27">
        <f t="shared" ref="S58:AC58" si="15">IFERROR(SQRT((POWER(F58,2)+POWER(F63,2))),"F")</f>
        <v>8.8204308284799797</v>
      </c>
      <c r="T58" s="27">
        <f t="shared" si="15"/>
        <v>9.871676655968832</v>
      </c>
      <c r="U58" s="27">
        <f t="shared" si="15"/>
        <v>7.0178344238090995</v>
      </c>
      <c r="V58" s="27">
        <f t="shared" si="15"/>
        <v>8.3486525858967191</v>
      </c>
      <c r="W58" s="27">
        <f t="shared" si="15"/>
        <v>3.8288379438153295</v>
      </c>
      <c r="X58" s="27">
        <f t="shared" si="15"/>
        <v>4.201190307520001</v>
      </c>
      <c r="Y58" s="27">
        <f t="shared" si="15"/>
        <v>7.7155686763841329</v>
      </c>
      <c r="Z58" s="27">
        <f t="shared" si="15"/>
        <v>7.3661387442811588</v>
      </c>
      <c r="AA58" s="27">
        <f t="shared" si="15"/>
        <v>2.0615528128088303</v>
      </c>
      <c r="AB58" s="27">
        <f t="shared" si="15"/>
        <v>4.9497474683058327</v>
      </c>
      <c r="AC58" s="27">
        <f t="shared" si="15"/>
        <v>2.0615528128088303</v>
      </c>
    </row>
    <row r="59" spans="2:29" s="12" customFormat="1" x14ac:dyDescent="0.3">
      <c r="B59" s="7"/>
      <c r="E59" s="22"/>
      <c r="F59" s="53"/>
      <c r="P59" s="26"/>
      <c r="R59" s="40"/>
      <c r="S59" s="90"/>
      <c r="T59" s="90"/>
      <c r="U59" s="90"/>
      <c r="V59" s="90"/>
      <c r="W59" s="90"/>
      <c r="X59" s="90"/>
      <c r="Y59" s="90"/>
      <c r="Z59" s="90"/>
      <c r="AA59" s="90"/>
      <c r="AB59" s="90"/>
      <c r="AC59" s="90"/>
    </row>
    <row r="60" spans="2:29" s="12" customFormat="1" ht="10.199999999999999" x14ac:dyDescent="0.3">
      <c r="B60" s="7"/>
      <c r="E60" s="22"/>
      <c r="F60" s="2"/>
      <c r="G60" s="2"/>
      <c r="H60" s="2"/>
      <c r="I60" s="2"/>
      <c r="J60" s="2"/>
      <c r="K60" s="2"/>
      <c r="L60" s="2"/>
      <c r="M60" s="2"/>
      <c r="N60" s="2"/>
      <c r="O60" s="2"/>
      <c r="P60" s="2"/>
      <c r="R60" s="40" t="s">
        <v>14</v>
      </c>
      <c r="S60" s="44">
        <f t="shared" ref="S60:AC60" si="16">IFERROR(2*S56*S58/100,"FAIL")</f>
        <v>0.26047788681545408</v>
      </c>
      <c r="T60" s="44">
        <f t="shared" si="16"/>
        <v>0.33544059984944014</v>
      </c>
      <c r="U60" s="44">
        <f t="shared" si="16"/>
        <v>0.22286110895089442</v>
      </c>
      <c r="V60" s="44">
        <f t="shared" si="16"/>
        <v>0.33523240742322313</v>
      </c>
      <c r="W60" s="44">
        <f t="shared" si="16"/>
        <v>0.12186661313689594</v>
      </c>
      <c r="X60" s="44">
        <f t="shared" si="16"/>
        <v>0.11908591194427665</v>
      </c>
      <c r="Y60" s="44">
        <f t="shared" si="16"/>
        <v>0.20698160682069125</v>
      </c>
      <c r="Z60" s="44">
        <f t="shared" si="16"/>
        <v>0.17120371707803858</v>
      </c>
      <c r="AA60" s="44">
        <f t="shared" si="16"/>
        <v>5.6750540072797999E-2</v>
      </c>
      <c r="AB60" s="44">
        <f t="shared" si="16"/>
        <v>0.19558753095274017</v>
      </c>
      <c r="AC60" s="44">
        <f t="shared" si="16"/>
        <v>6.2461579653789075E-2</v>
      </c>
    </row>
    <row r="61" spans="2:29" s="12" customFormat="1" ht="10.199999999999999" x14ac:dyDescent="0.3">
      <c r="B61" s="7"/>
      <c r="E61" s="22" t="s">
        <v>41</v>
      </c>
      <c r="F61" s="2">
        <f t="shared" ref="F61:P61" si="17">F73</f>
        <v>141230</v>
      </c>
      <c r="G61" s="2">
        <f t="shared" si="17"/>
        <v>37232</v>
      </c>
      <c r="H61" s="2">
        <f t="shared" si="17"/>
        <v>231909</v>
      </c>
      <c r="I61" s="2">
        <f t="shared" si="17"/>
        <v>186341</v>
      </c>
      <c r="J61" s="2">
        <f t="shared" si="17"/>
        <v>2036406</v>
      </c>
      <c r="K61" s="2">
        <f t="shared" si="17"/>
        <v>2638858</v>
      </c>
      <c r="L61" s="2">
        <f t="shared" si="17"/>
        <v>236002</v>
      </c>
      <c r="M61" s="2">
        <f t="shared" si="17"/>
        <v>212885</v>
      </c>
      <c r="N61" s="2">
        <f t="shared" si="17"/>
        <v>807530</v>
      </c>
      <c r="O61" s="2">
        <f t="shared" si="17"/>
        <v>1025334</v>
      </c>
      <c r="P61" s="2">
        <f t="shared" si="17"/>
        <v>7574058</v>
      </c>
    </row>
    <row r="62" spans="2:29" s="12" customFormat="1" ht="10.199999999999999" x14ac:dyDescent="0.3">
      <c r="B62" s="7"/>
      <c r="E62" s="22" t="s">
        <v>94</v>
      </c>
      <c r="F62" s="2">
        <f t="shared" ref="F62:P62" si="18">F83</f>
        <v>7080.1720000000005</v>
      </c>
      <c r="G62" s="2">
        <f t="shared" si="18"/>
        <v>2427.5919999999996</v>
      </c>
      <c r="H62" s="2">
        <f t="shared" si="18"/>
        <v>11319.951999999999</v>
      </c>
      <c r="I62" s="2">
        <f t="shared" si="18"/>
        <v>10096.353999999999</v>
      </c>
      <c r="J62" s="2">
        <f t="shared" si="18"/>
        <v>55872.733999999997</v>
      </c>
      <c r="K62" s="2">
        <f t="shared" si="18"/>
        <v>98283.371999999988</v>
      </c>
      <c r="L62" s="2">
        <f t="shared" si="18"/>
        <v>15137.604000000001</v>
      </c>
      <c r="M62" s="2">
        <f t="shared" si="18"/>
        <v>14278.11</v>
      </c>
      <c r="N62" s="2">
        <f t="shared" si="18"/>
        <v>14494.56</v>
      </c>
      <c r="O62" s="2">
        <f t="shared" si="18"/>
        <v>37224.81</v>
      </c>
      <c r="P62" s="2">
        <f t="shared" si="18"/>
        <v>126798.56</v>
      </c>
    </row>
    <row r="63" spans="2:29" s="12" customFormat="1" ht="10.199999999999999" x14ac:dyDescent="0.3">
      <c r="B63" s="7"/>
      <c r="E63" s="22" t="s">
        <v>95</v>
      </c>
      <c r="F63" s="2">
        <f t="shared" ref="F63:P63" si="19">F92</f>
        <v>7.4</v>
      </c>
      <c r="G63" s="2">
        <f t="shared" si="19"/>
        <v>7.6</v>
      </c>
      <c r="H63" s="2">
        <f t="shared" si="19"/>
        <v>5.3</v>
      </c>
      <c r="I63" s="2">
        <f t="shared" si="19"/>
        <v>6.1</v>
      </c>
      <c r="J63" s="2">
        <f t="shared" si="19"/>
        <v>2.9</v>
      </c>
      <c r="K63" s="2">
        <f t="shared" si="19"/>
        <v>3.3</v>
      </c>
      <c r="L63" s="2">
        <f t="shared" si="19"/>
        <v>5.7</v>
      </c>
      <c r="M63" s="2">
        <f t="shared" si="19"/>
        <v>5.5</v>
      </c>
      <c r="N63" s="2">
        <f t="shared" si="19"/>
        <v>1.6</v>
      </c>
      <c r="O63" s="2">
        <f t="shared" si="19"/>
        <v>3.5</v>
      </c>
      <c r="P63" s="2">
        <f t="shared" si="19"/>
        <v>1.6</v>
      </c>
    </row>
    <row r="64" spans="2:29" s="12" customFormat="1" ht="10.199999999999999" x14ac:dyDescent="0.3">
      <c r="B64" s="7"/>
    </row>
    <row r="65" spans="2:28" s="12" customFormat="1" ht="10.199999999999999" x14ac:dyDescent="0.3">
      <c r="B65" s="7"/>
    </row>
    <row r="66" spans="2:28" s="12" customFormat="1" ht="10.199999999999999" x14ac:dyDescent="0.3">
      <c r="B66" s="7"/>
    </row>
    <row r="67" spans="2:28" s="12" customFormat="1" x14ac:dyDescent="0.3">
      <c r="B67" s="7"/>
      <c r="E67" s="22"/>
      <c r="F67" s="53"/>
      <c r="P67" s="26"/>
    </row>
    <row r="68" spans="2:28" s="12" customFormat="1" x14ac:dyDescent="0.3">
      <c r="B68" s="7"/>
      <c r="E68" s="22"/>
      <c r="F68" s="53"/>
      <c r="P68" s="26"/>
    </row>
    <row r="69" spans="2:28" s="12" customFormat="1" x14ac:dyDescent="0.3">
      <c r="B69" s="7"/>
      <c r="E69" s="22"/>
      <c r="F69" s="53"/>
      <c r="P69" s="26"/>
    </row>
    <row r="70" spans="2:28" s="12" customFormat="1" x14ac:dyDescent="0.3">
      <c r="B70" s="7"/>
      <c r="C70" s="12" t="s">
        <v>92</v>
      </c>
      <c r="D70" s="30"/>
      <c r="E70" s="43" t="s">
        <v>11</v>
      </c>
      <c r="F70" s="42" t="s">
        <v>81</v>
      </c>
      <c r="G70" s="42" t="s">
        <v>53</v>
      </c>
      <c r="H70" s="42" t="s">
        <v>61</v>
      </c>
      <c r="I70" s="42" t="s">
        <v>62</v>
      </c>
      <c r="J70" s="42" t="s">
        <v>82</v>
      </c>
      <c r="K70" s="42" t="s">
        <v>83</v>
      </c>
      <c r="L70" s="42" t="s">
        <v>98</v>
      </c>
      <c r="M70" s="42" t="s">
        <v>85</v>
      </c>
      <c r="N70" s="42" t="s">
        <v>86</v>
      </c>
      <c r="O70" s="42" t="s">
        <v>67</v>
      </c>
      <c r="P70" s="43" t="s">
        <v>158</v>
      </c>
      <c r="R70" s="42" t="s">
        <v>81</v>
      </c>
      <c r="S70" s="42" t="s">
        <v>53</v>
      </c>
      <c r="T70" s="42" t="s">
        <v>61</v>
      </c>
      <c r="U70" s="42" t="s">
        <v>62</v>
      </c>
      <c r="V70" s="42" t="s">
        <v>82</v>
      </c>
      <c r="W70" s="42" t="s">
        <v>83</v>
      </c>
      <c r="X70" s="42" t="s">
        <v>98</v>
      </c>
      <c r="Y70" s="42" t="s">
        <v>85</v>
      </c>
      <c r="Z70" s="42" t="s">
        <v>86</v>
      </c>
      <c r="AA70" s="42" t="s">
        <v>67</v>
      </c>
      <c r="AB70" s="43" t="s">
        <v>158</v>
      </c>
    </row>
    <row r="71" spans="2:28" s="40" customFormat="1" x14ac:dyDescent="0.3">
      <c r="B71" s="39"/>
      <c r="D71" s="41"/>
      <c r="E71" s="10" t="s">
        <v>7</v>
      </c>
      <c r="F71" s="2">
        <f>INDEX(rangeprovince, 1+population2value2+0, F$133+cyclevalue-1)</f>
        <v>459372</v>
      </c>
      <c r="G71" s="2">
        <f>INDEX(rangeprovince, 42+population2value2+0, F$133+cyclevalue-1)</f>
        <v>128848</v>
      </c>
      <c r="H71" s="2">
        <f>INDEX(rangeprovince, 83+population2value2+0, F$133+cyclevalue-1)</f>
        <v>816464</v>
      </c>
      <c r="I71" s="2">
        <f>INDEX(rangeprovince, 124+population2value2+0, F$133+cyclevalue-1)</f>
        <v>644748</v>
      </c>
      <c r="J71" s="2">
        <f>INDEX(rangeprovince, 165+population2value2+0, F$133+cyclevalue-1)</f>
        <v>7158334</v>
      </c>
      <c r="K71" s="2">
        <f>INDEX(rangeprovince, 206+population2value2+0, F$133+cyclevalue-1)</f>
        <v>12173621</v>
      </c>
      <c r="L71" s="2">
        <f>INDEX(rangeprovince, 247+population2value2+0, F$133+cyclevalue-1)</f>
        <v>1056582</v>
      </c>
      <c r="M71" s="2">
        <f>INDEX(rangeprovince, 288+population2value2+0, F$133+cyclevalue-1)</f>
        <v>914819</v>
      </c>
      <c r="N71" s="2">
        <f>INDEX(rangeprovince, 329+population2value2+0, F$133+cyclevalue-1)</f>
        <v>3578490</v>
      </c>
      <c r="O71" s="2">
        <f>INDEX(rangeprovince, 370+population2value2+0, F$133+cyclevalue-1)</f>
        <v>4129403</v>
      </c>
      <c r="P71" s="2">
        <f>INDEX(rangeprovince, 411+population2value2+0, F$133+cyclevalue-1)</f>
        <v>31157220</v>
      </c>
      <c r="R71" s="3">
        <f>INDEX(rangeprovince, 1+population2value2+0, AM$133+cyclevalue-1)</f>
        <v>1</v>
      </c>
      <c r="S71" s="3">
        <f>INDEX(rangeprovince, 42+population2value2+0, AM$133+cyclevalue-1)</f>
        <v>1</v>
      </c>
      <c r="T71" s="3">
        <f>INDEX(rangeprovince, 83+population2value2+0, AM$133+cyclevalue-1)</f>
        <v>1</v>
      </c>
      <c r="U71" s="3">
        <f>INDEX(rangeprovince, 124+population2value2+0, AM$133+cyclevalue-1)</f>
        <v>1</v>
      </c>
      <c r="V71" s="3">
        <f>INDEX(rangeprovince, 165+population2value2+0, AM$133+cyclevalue-1)</f>
        <v>1</v>
      </c>
      <c r="W71" s="3">
        <f>INDEX(rangeprovince, 206+population2value2+0, AM$133+cyclevalue-1)</f>
        <v>1</v>
      </c>
      <c r="X71" s="3">
        <f>INDEX(rangeprovince, 247+population2value2+0, AM$133+cyclevalue-1)</f>
        <v>1</v>
      </c>
      <c r="Y71" s="3">
        <f>INDEX(rangeprovince, 288+population2value2+0, AM$133+cyclevalue-1)</f>
        <v>1</v>
      </c>
      <c r="Z71" s="3">
        <f>INDEX(rangeprovince, 329+population2value2+0, AM$133+cyclevalue-1)</f>
        <v>1</v>
      </c>
      <c r="AA71" s="3">
        <f>INDEX(rangeprovince, 370+population2value2+0, AM$133+cyclevalue-1)</f>
        <v>1</v>
      </c>
      <c r="AB71" s="3">
        <f>INDEX(rangeprovince, 411+population2value2+0, AM$133+cyclevalue-1)</f>
        <v>1</v>
      </c>
    </row>
    <row r="72" spans="2:28" s="40" customFormat="1" x14ac:dyDescent="0.3">
      <c r="B72" s="39"/>
      <c r="D72" s="41"/>
      <c r="E72" s="8" t="s">
        <v>9</v>
      </c>
      <c r="F72" s="2">
        <f>INDEX(rangeprovince, 1+1+population2value2+0, F$133+cyclevalue-1)</f>
        <v>95648</v>
      </c>
      <c r="G72" s="2">
        <f>INDEX(rangeprovince, 1+ 42+population2value2+0, F$133+cyclevalue-1)</f>
        <v>21914</v>
      </c>
      <c r="H72" s="2">
        <f>INDEX(rangeprovince, 1+83+population2value2+0, F$133+cyclevalue-1)</f>
        <v>146055</v>
      </c>
      <c r="I72" s="2">
        <f>INDEX(rangeprovince, 1+ 124+population2value2+0, F$133+cyclevalue-1)</f>
        <v>92813</v>
      </c>
      <c r="J72" s="2">
        <f>INDEX(rangeprovince, 1+ 165+population2value2+0, F$133+cyclevalue-1)</f>
        <v>1279607</v>
      </c>
      <c r="K72" s="2">
        <f>INDEX(rangeprovince, 1+ 206+population2value2+0, F$133+cyclevalue-1)</f>
        <v>1861907</v>
      </c>
      <c r="L72" s="2">
        <f>INDEX(rangeprovince, 1+247+population2value2+0, F$133+cyclevalue-1)</f>
        <v>175947</v>
      </c>
      <c r="M72" s="2">
        <f>INDEX(rangeprovince,1+ 288+population2value2+0, F$133+cyclevalue-1)</f>
        <v>183190</v>
      </c>
      <c r="N72" s="2">
        <f>INDEX(rangeprovince,1+ 329+population2value2+0, F$133+cyclevalue-1)</f>
        <v>586696</v>
      </c>
      <c r="O72" s="2">
        <f>INDEX(rangeprovince,1+ 370+population2value2+0, F$133+cyclevalue-1)</f>
        <v>518964</v>
      </c>
      <c r="P72" s="2">
        <f>INDEX(rangeprovince, 1+411+population2value2+0, F$133+cyclevalue-1)</f>
        <v>4999656</v>
      </c>
      <c r="R72" s="3">
        <f>INDEX(rangeprovince, 1+1+population2value2+0, AM$133+cyclevalue-1)</f>
        <v>0.20821469310275767</v>
      </c>
      <c r="S72" s="3">
        <f>INDEX(rangeprovince, 1+ 42+population2value2+0, AM$133+cyclevalue-1)</f>
        <v>0.17007636905501056</v>
      </c>
      <c r="T72" s="3">
        <f>INDEX(rangeprovince, 1+83+population2value2+0, AM$133+cyclevalue-1)</f>
        <v>0.17888725038703482</v>
      </c>
      <c r="U72" s="3">
        <f>INDEX(rangeprovince, 1+ 124+population2value2+0, AM$133+cyclevalue-1)</f>
        <v>0.1439523658855863</v>
      </c>
      <c r="V72" s="3">
        <f>INDEX(rangeprovince, 1+ 165+population2value2+0, AM$133+cyclevalue-1)</f>
        <v>0.17875765506331501</v>
      </c>
      <c r="W72" s="3">
        <f>INDEX(rangeprovince, 1+ 206+population2value2+0, AM$133+cyclevalue-1)</f>
        <v>0.15294602978029298</v>
      </c>
      <c r="X72" s="3">
        <f>INDEX(rangeprovince, 1+247+population2value2+0, AM$133+cyclevalue-1)</f>
        <v>0.16652469945541379</v>
      </c>
      <c r="Y72" s="3">
        <f>INDEX(rangeprovince,1+ 288+population2value2+0, AM$133+cyclevalue-1)</f>
        <v>0.20024726202669599</v>
      </c>
      <c r="Z72" s="3">
        <f>INDEX(rangeprovince,1+ 329+population2value2+0, AM$133+cyclevalue-1)</f>
        <v>0.16395071664305336</v>
      </c>
      <c r="AA72" s="3">
        <f>INDEX(rangeprovince,1+ 370+population2value2+0, AM$133+cyclevalue-1)</f>
        <v>0.12567530948178224</v>
      </c>
      <c r="AB72" s="3">
        <f>INDEX(rangeprovince, 1+411+population2value2+0, AM$133+cyclevalue-1)</f>
        <v>0.16046540737588269</v>
      </c>
    </row>
    <row r="73" spans="2:28" s="40" customFormat="1" x14ac:dyDescent="0.3">
      <c r="B73" s="39"/>
      <c r="D73" s="41"/>
      <c r="E73" s="8" t="s">
        <v>41</v>
      </c>
      <c r="F73" s="2">
        <f>INDEX(rangeprovince, 2+1+population2value2+0, F$133+cyclevalue-1)</f>
        <v>141230</v>
      </c>
      <c r="G73" s="2">
        <f>INDEX(rangeprovince, 2+ 42+population2value2+0, F$133+cyclevalue-1)</f>
        <v>37232</v>
      </c>
      <c r="H73" s="2">
        <f>INDEX(rangeprovince, 2+83+population2value2+0, F$133+cyclevalue-1)</f>
        <v>231909</v>
      </c>
      <c r="I73" s="2">
        <f>INDEX(rangeprovince, 2+ 124+population2value2+0, F$133+cyclevalue-1)</f>
        <v>186341</v>
      </c>
      <c r="J73" s="2">
        <f>INDEX(rangeprovince, 2+ 165+population2value2+0, F$133+cyclevalue-1)</f>
        <v>2036406</v>
      </c>
      <c r="K73" s="2">
        <f>INDEX(rangeprovince, 2+ 206+population2value2+0, F$133+cyclevalue-1)</f>
        <v>2638858</v>
      </c>
      <c r="L73" s="2">
        <f>INDEX(rangeprovince, 2+247+population2value2+0, F$133+cyclevalue-1)</f>
        <v>236002</v>
      </c>
      <c r="M73" s="2">
        <f>INDEX(rangeprovince,2+ 288+population2value2+0, F$133+cyclevalue-1)</f>
        <v>212885</v>
      </c>
      <c r="N73" s="2">
        <f>INDEX(rangeprovince,2+ 329+population2value2+0, F$133+cyclevalue-1)</f>
        <v>807530</v>
      </c>
      <c r="O73" s="2">
        <f>INDEX(rangeprovince,2+ 370+population2value2+0, F$133+cyclevalue-1)</f>
        <v>1025334</v>
      </c>
      <c r="P73" s="2">
        <f>INDEX(rangeprovince, 2+411+population2value2+0, F$133+cyclevalue-1)</f>
        <v>7574058</v>
      </c>
      <c r="R73" s="3">
        <f>INDEX(rangeprovince, 2+1+population2value2+0, AM$133+cyclevalue-1)</f>
        <v>0.30744146356329949</v>
      </c>
      <c r="S73" s="3">
        <f>INDEX(rangeprovince, 2+ 42+population2value2+0, AM$133+cyclevalue-1)</f>
        <v>0.28896063578790515</v>
      </c>
      <c r="T73" s="3">
        <f>INDEX(rangeprovince, 2+83+population2value2+0, AM$133+cyclevalue-1)</f>
        <v>0.28404069254737502</v>
      </c>
      <c r="U73" s="3">
        <f>INDEX(rangeprovince, 2+ 124+population2value2+0, AM$133+cyclevalue-1)</f>
        <v>0.28901369217120487</v>
      </c>
      <c r="V73" s="3">
        <f>INDEX(rangeprovince, 2+ 165+population2value2+0, AM$133+cyclevalue-1)</f>
        <v>0.2844804391636378</v>
      </c>
      <c r="W73" s="3">
        <f>INDEX(rangeprovince, 2+ 206+population2value2+0, AM$133+cyclevalue-1)</f>
        <v>0.21676853583662575</v>
      </c>
      <c r="X73" s="3">
        <f>INDEX(rangeprovince, 2+247+population2value2+0, AM$133+cyclevalue-1)</f>
        <v>0.22336363860069544</v>
      </c>
      <c r="Y73" s="3">
        <f>INDEX(rangeprovince,2+ 288+population2value2+0, AM$133+cyclevalue-1)</f>
        <v>0.23270723498309501</v>
      </c>
      <c r="Z73" s="3">
        <f>INDEX(rangeprovince,2+ 329+population2value2+0, AM$133+cyclevalue-1)</f>
        <v>0.22566222065731636</v>
      </c>
      <c r="AA73" s="3">
        <f>INDEX(rangeprovince,2+ 370+population2value2+0, AM$133+cyclevalue-1)</f>
        <v>0.24830078343043777</v>
      </c>
      <c r="AB73" s="3">
        <f>INDEX(rangeprovince, 2+411+population2value2+0, AM$133+cyclevalue-1)</f>
        <v>0.24309158519277393</v>
      </c>
    </row>
    <row r="74" spans="2:28" s="40" customFormat="1" x14ac:dyDescent="0.3">
      <c r="B74" s="39"/>
      <c r="D74" s="41"/>
      <c r="E74" s="8" t="s">
        <v>157</v>
      </c>
      <c r="F74" s="2">
        <f>INDEX(rangeprovince, 3+1+population2value2+0, F$133+cyclevalue-1)</f>
        <v>47839</v>
      </c>
      <c r="G74" s="2">
        <f>INDEX(rangeprovince, 3+ 42+population2value2+0, F$133+cyclevalue-1)</f>
        <v>15971</v>
      </c>
      <c r="H74" s="2">
        <f>INDEX(rangeprovince, 3+83+population2value2+0, F$133+cyclevalue-1)</f>
        <v>106792</v>
      </c>
      <c r="I74" s="2">
        <f>INDEX(rangeprovince, 3+ 124+population2value2+0, F$133+cyclevalue-1)</f>
        <v>82757</v>
      </c>
      <c r="J74" s="2">
        <f>INDEX(rangeprovince, 3+ 165+population2value2+0, F$133+cyclevalue-1)</f>
        <v>963323</v>
      </c>
      <c r="K74" s="2">
        <f>INDEX(rangeprovince, 3+ 206+population2value2+0, F$133+cyclevalue-1)</f>
        <v>1489142</v>
      </c>
      <c r="L74" s="2">
        <f>INDEX(rangeprovince, 3+247+population2value2+0, F$133+cyclevalue-1)</f>
        <v>132786</v>
      </c>
      <c r="M74" s="2">
        <f>INDEX(rangeprovince,3+ 288+population2value2+0, F$133+cyclevalue-1)</f>
        <v>129801</v>
      </c>
      <c r="N74" s="2">
        <f>INDEX(rangeprovince,3+ 329+population2value2+0, F$133+cyclevalue-1)</f>
        <v>452955</v>
      </c>
      <c r="O74" s="2">
        <f>INDEX(rangeprovince,3+ 370+population2value2+0, F$133+cyclevalue-1)</f>
        <v>531783</v>
      </c>
      <c r="P74" s="2">
        <f>INDEX(rangeprovince, 3+411+population2value2+0, F$133+cyclevalue-1)</f>
        <v>3962455</v>
      </c>
      <c r="R74" s="3">
        <f>INDEX(rangeprovince, 3+1+population2value2+0, AM$133+cyclevalue-1)</f>
        <v>0.10413999982584921</v>
      </c>
      <c r="S74" s="3">
        <f>INDEX(rangeprovince, 3+ 42+population2value2+0, AM$133+cyclevalue-1)</f>
        <v>0.12395225381845275</v>
      </c>
      <c r="T74" s="3">
        <f>INDEX(rangeprovince, 3+83+population2value2+0, AM$133+cyclevalue-1)</f>
        <v>0.13079817358756785</v>
      </c>
      <c r="U74" s="3">
        <f>INDEX(rangeprovince, 3+ 124+population2value2+0, AM$133+cyclevalue-1)</f>
        <v>0.12835557458107663</v>
      </c>
      <c r="V74" s="3">
        <f>INDEX(rangeprovince, 3+ 165+population2value2+0, AM$133+cyclevalue-1)</f>
        <v>0.13457363123877708</v>
      </c>
      <c r="W74" s="3">
        <f>INDEX(rangeprovince, 3+ 206+population2value2+0, AM$133+cyclevalue-1)</f>
        <v>0.12232531306831386</v>
      </c>
      <c r="X74" s="3">
        <f>INDEX(rangeprovince, 3+247+population2value2+0, AM$133+cyclevalue-1)</f>
        <v>0.12567505408950749</v>
      </c>
      <c r="Y74" s="3">
        <f>INDEX(rangeprovince,3+ 288+population2value2+0, AM$133+cyclevalue-1)</f>
        <v>0.1418870836744755</v>
      </c>
      <c r="Z74" s="3">
        <f>INDEX(rangeprovince,3+ 329+population2value2+0, AM$133+cyclevalue-1)</f>
        <v>0.12657713169521223</v>
      </c>
      <c r="AA74" s="3">
        <f>INDEX(rangeprovince,3+ 370+population2value2+0, AM$133+cyclevalue-1)</f>
        <v>0.1287796323100458</v>
      </c>
      <c r="AB74" s="3">
        <f>INDEX(rangeprovince, 3+411+population2value2+0, AM$133+cyclevalue-1)</f>
        <v>0.12717614087521287</v>
      </c>
    </row>
    <row r="75" spans="2:28" s="40" customFormat="1" x14ac:dyDescent="0.3">
      <c r="B75" s="39"/>
      <c r="D75" s="41"/>
      <c r="E75" s="8" t="s">
        <v>135</v>
      </c>
      <c r="F75" s="2">
        <f>INDEX(rangeprovince, 4+1+population2value2+0, F$133+cyclevalue-1)</f>
        <v>174656</v>
      </c>
      <c r="G75" s="2">
        <f>INDEX(rangeprovince, 4+ 42+population2value2+0, F$133+cyclevalue-1)</f>
        <v>53731</v>
      </c>
      <c r="H75" s="2">
        <f>INDEX(rangeprovince, 4+83+population2value2+0, F$133+cyclevalue-1)</f>
        <v>331707</v>
      </c>
      <c r="I75" s="2">
        <f>INDEX(rangeprovince, 4+ 124+population2value2+0, F$133+cyclevalue-1)</f>
        <v>282837</v>
      </c>
      <c r="J75" s="2">
        <f>INDEX(rangeprovince, 4+ 165+population2value2+0, F$133+cyclevalue-1)</f>
        <v>2878998</v>
      </c>
      <c r="K75" s="2">
        <f>INDEX(rangeprovince, 4+ 206+population2value2+0, F$133+cyclevalue-1)</f>
        <v>6183714</v>
      </c>
      <c r="L75" s="2">
        <f>INDEX(rangeprovince, 4+247+population2value2+0, F$133+cyclevalue-1)</f>
        <v>511847</v>
      </c>
      <c r="M75" s="2">
        <f>INDEX(rangeprovince,4+ 288+population2value2+0, F$133+cyclevalue-1)</f>
        <v>388944</v>
      </c>
      <c r="N75" s="2">
        <f>INDEX(rangeprovince,4+ 329+population2value2+0, F$133+cyclevalue-1)</f>
        <v>1731308</v>
      </c>
      <c r="O75" s="2">
        <f>INDEX(rangeprovince,4+ 370+population2value2+0, F$133+cyclevalue-1)</f>
        <v>2053322</v>
      </c>
      <c r="P75" s="2">
        <f>INDEX(rangeprovince, 4+411+population2value2+0, F$133+cyclevalue-1)</f>
        <v>14621051</v>
      </c>
      <c r="R75" s="3">
        <f>INDEX(rangeprovince, 4+1+population2value2+0, AM$133+cyclevalue-1)</f>
        <v>0.38020602039305834</v>
      </c>
      <c r="S75" s="3">
        <f>INDEX(rangeprovince, 4+ 42+population2value2+0, AM$133+cyclevalue-1)</f>
        <v>0.41701074133863159</v>
      </c>
      <c r="T75" s="3">
        <f>INDEX(rangeprovince, 4+83+population2value2+0, AM$133+cyclevalue-1)</f>
        <v>0.40627265868427759</v>
      </c>
      <c r="U75" s="3">
        <f>INDEX(rangeprovince, 4+ 124+population2value2+0, AM$133+cyclevalue-1)</f>
        <v>0.43867836736213217</v>
      </c>
      <c r="V75" s="3">
        <f>INDEX(rangeprovince, 4+ 165+population2value2+0, AM$133+cyclevalue-1)</f>
        <v>0.40218827453427014</v>
      </c>
      <c r="W75" s="3">
        <f>INDEX(rangeprovince, 4+ 206+population2value2+0, AM$133+cyclevalue-1)</f>
        <v>0.50796012131476742</v>
      </c>
      <c r="X75" s="3">
        <f>INDEX(rangeprovince, 4+247+population2value2+0, AM$133+cyclevalue-1)</f>
        <v>0.48443660785438331</v>
      </c>
      <c r="Y75" s="3">
        <f>INDEX(rangeprovince,4+ 288+population2value2+0, AM$133+cyclevalue-1)</f>
        <v>0.42515951242814154</v>
      </c>
      <c r="Z75" s="3">
        <f>INDEX(rangeprovince,4+ 329+population2value2+0, AM$133+cyclevalue-1)</f>
        <v>0.48380965155694161</v>
      </c>
      <c r="AA75" s="3">
        <f>INDEX(rangeprovince,4+ 370+population2value2+0, AM$133+cyclevalue-1)</f>
        <v>0.4972442747777342</v>
      </c>
      <c r="AB75" s="3">
        <f>INDEX(rangeprovince, 4+411+population2value2+0, AM$133+cyclevalue-1)</f>
        <v>0.46926686655613048</v>
      </c>
    </row>
    <row r="76" spans="2:28" s="40" customFormat="1" x14ac:dyDescent="0.3">
      <c r="B76" s="39"/>
      <c r="D76" s="41"/>
      <c r="E76" s="8" t="s">
        <v>88</v>
      </c>
      <c r="F76" s="2">
        <f t="shared" ref="F76:P76" si="20">SUM(F72:F75)</f>
        <v>459373</v>
      </c>
      <c r="G76" s="2">
        <f t="shared" si="20"/>
        <v>128848</v>
      </c>
      <c r="H76" s="2">
        <f t="shared" si="20"/>
        <v>816463</v>
      </c>
      <c r="I76" s="2">
        <f t="shared" si="20"/>
        <v>644748</v>
      </c>
      <c r="J76" s="2">
        <f t="shared" si="20"/>
        <v>7158334</v>
      </c>
      <c r="K76" s="2">
        <f t="shared" si="20"/>
        <v>12173621</v>
      </c>
      <c r="L76" s="2">
        <f t="shared" si="20"/>
        <v>1056582</v>
      </c>
      <c r="M76" s="2">
        <f t="shared" si="20"/>
        <v>914820</v>
      </c>
      <c r="N76" s="2">
        <f t="shared" si="20"/>
        <v>3578489</v>
      </c>
      <c r="O76" s="2">
        <f t="shared" si="20"/>
        <v>4129403</v>
      </c>
      <c r="P76" s="2">
        <f t="shared" si="20"/>
        <v>31157220</v>
      </c>
      <c r="R76" s="3">
        <f t="shared" ref="R76:AB76" si="21">SUM(R72:R75)</f>
        <v>1.0000021768849647</v>
      </c>
      <c r="S76" s="3">
        <f t="shared" si="21"/>
        <v>1</v>
      </c>
      <c r="T76" s="3">
        <f t="shared" si="21"/>
        <v>0.99999877520625535</v>
      </c>
      <c r="U76" s="3">
        <f t="shared" si="21"/>
        <v>1</v>
      </c>
      <c r="V76" s="3">
        <f t="shared" si="21"/>
        <v>1</v>
      </c>
      <c r="W76" s="3">
        <f t="shared" si="21"/>
        <v>1</v>
      </c>
      <c r="X76" s="3">
        <f t="shared" si="21"/>
        <v>1</v>
      </c>
      <c r="Y76" s="3">
        <f t="shared" si="21"/>
        <v>1.0000010931124081</v>
      </c>
      <c r="Z76" s="3">
        <f t="shared" si="21"/>
        <v>0.99999972055252351</v>
      </c>
      <c r="AA76" s="3">
        <f t="shared" si="21"/>
        <v>1</v>
      </c>
      <c r="AB76" s="3">
        <f t="shared" si="21"/>
        <v>1</v>
      </c>
    </row>
    <row r="77" spans="2:28" s="40" customFormat="1" x14ac:dyDescent="0.3">
      <c r="B77" s="39"/>
      <c r="D77" s="41"/>
      <c r="E77" s="12"/>
      <c r="F77" s="2"/>
      <c r="G77" s="2"/>
      <c r="H77" s="2"/>
      <c r="I77" s="2"/>
      <c r="J77" s="2"/>
      <c r="K77" s="2"/>
      <c r="L77" s="2"/>
      <c r="M77" s="2"/>
      <c r="N77" s="2"/>
      <c r="O77" s="2"/>
      <c r="P77" s="2"/>
      <c r="R77" s="3"/>
      <c r="S77" s="3"/>
      <c r="T77" s="3"/>
      <c r="U77" s="3"/>
      <c r="V77" s="3"/>
      <c r="W77" s="3"/>
      <c r="X77" s="3"/>
      <c r="Y77" s="3"/>
      <c r="Z77" s="3"/>
      <c r="AA77" s="3"/>
      <c r="AB77" s="3"/>
    </row>
    <row r="78" spans="2:28" s="40" customFormat="1" x14ac:dyDescent="0.3">
      <c r="B78" s="39"/>
      <c r="D78" s="41"/>
      <c r="E78" s="12"/>
      <c r="F78" s="2"/>
      <c r="G78" s="2"/>
      <c r="H78" s="2"/>
      <c r="I78" s="2"/>
      <c r="J78" s="2"/>
      <c r="K78" s="2"/>
      <c r="L78" s="2"/>
      <c r="M78" s="2"/>
      <c r="N78" s="2"/>
      <c r="O78" s="2"/>
      <c r="P78" s="2"/>
      <c r="R78" s="3"/>
      <c r="S78" s="3"/>
      <c r="T78" s="3"/>
      <c r="U78" s="3"/>
      <c r="V78" s="3"/>
      <c r="W78" s="3"/>
      <c r="X78" s="3"/>
      <c r="Y78" s="3"/>
      <c r="Z78" s="3"/>
      <c r="AA78" s="3"/>
      <c r="AB78" s="3"/>
    </row>
    <row r="79" spans="2:28" s="12" customFormat="1" x14ac:dyDescent="0.3">
      <c r="B79" s="7"/>
      <c r="C79" s="12" t="s">
        <v>92</v>
      </c>
      <c r="D79" s="30"/>
      <c r="E79" s="43" t="s">
        <v>93</v>
      </c>
      <c r="F79" s="42" t="s">
        <v>81</v>
      </c>
      <c r="G79" s="42" t="s">
        <v>53</v>
      </c>
      <c r="H79" s="42" t="s">
        <v>61</v>
      </c>
      <c r="I79" s="42" t="s">
        <v>62</v>
      </c>
      <c r="J79" s="42" t="s">
        <v>82</v>
      </c>
      <c r="K79" s="42" t="s">
        <v>83</v>
      </c>
      <c r="L79" s="42" t="s">
        <v>98</v>
      </c>
      <c r="M79" s="42" t="s">
        <v>85</v>
      </c>
      <c r="N79" s="42" t="s">
        <v>86</v>
      </c>
      <c r="O79" s="42" t="s">
        <v>67</v>
      </c>
      <c r="P79" s="43" t="s">
        <v>158</v>
      </c>
      <c r="R79" s="42" t="s">
        <v>81</v>
      </c>
      <c r="S79" s="42" t="s">
        <v>53</v>
      </c>
      <c r="T79" s="42" t="s">
        <v>61</v>
      </c>
      <c r="U79" s="42" t="s">
        <v>62</v>
      </c>
      <c r="V79" s="42" t="s">
        <v>82</v>
      </c>
      <c r="W79" s="42" t="s">
        <v>83</v>
      </c>
      <c r="X79" s="42" t="s">
        <v>98</v>
      </c>
      <c r="Y79" s="42" t="s">
        <v>85</v>
      </c>
      <c r="Z79" s="42" t="s">
        <v>86</v>
      </c>
      <c r="AA79" s="42" t="s">
        <v>67</v>
      </c>
      <c r="AB79" s="43" t="s">
        <v>158</v>
      </c>
    </row>
    <row r="80" spans="2:28" s="40" customFormat="1" x14ac:dyDescent="0.3">
      <c r="B80" s="39"/>
      <c r="D80" s="41"/>
      <c r="E80" s="10" t="s">
        <v>7</v>
      </c>
      <c r="F80" s="2">
        <f>INDEX(rangeprovince, 1+population2value2+0, AB$133+cyclevalue-1)</f>
        <v>7349.9520000000011</v>
      </c>
      <c r="G80" s="2">
        <f>INDEX(rangeprovince, 42+population2value2+0, AB$133+cyclevalue-1)</f>
        <v>2576.96</v>
      </c>
      <c r="H80" s="2">
        <f>INDEX(rangeprovince, 83+population2value2+0, AB$133+cyclevalue-1)</f>
        <v>13063.424000000001</v>
      </c>
      <c r="I80" s="2">
        <f>INDEX(rangeprovince, 124+population2value2+0, AB$133+cyclevalue-1)</f>
        <v>10315.968000000001</v>
      </c>
      <c r="J80" s="2">
        <f>INDEX(rangeprovince, 165+population2value2+0, AB$133+cyclevalue-1)</f>
        <v>42950.003999999994</v>
      </c>
      <c r="K80" s="2">
        <f>INDEX(rangeprovince, 206+population2value2+0, AB$133+cyclevalue-1)</f>
        <v>97388.968000000008</v>
      </c>
      <c r="L80" s="2">
        <f>INDEX(rangeprovince, 247+population2value2+0, AB$133+cyclevalue-1)</f>
        <v>16905.312000000002</v>
      </c>
      <c r="M80" s="2">
        <f>INDEX(rangeprovince, 288+population2value2+0, AB$133+cyclevalue-1)</f>
        <v>16466.741999999998</v>
      </c>
      <c r="N80" s="2">
        <f>INDEX(rangeprovince, 329+population2value2+0, AB$133+cyclevalue-1)</f>
        <v>14313.96</v>
      </c>
      <c r="O80" s="2">
        <f>INDEX(rangeprovince, 370+population2value2+0, AB$133+cyclevalue-1)</f>
        <v>41294.03</v>
      </c>
      <c r="P80" s="2">
        <f>INDEX(rangeprovince, 411+population2value2+0, AB$133+cyclevalue-1)</f>
        <v>124628.88</v>
      </c>
      <c r="R80" s="3">
        <f>INDEX(rangeprovince, 1+population2value2+0, AX$133+cyclevalue-1)</f>
        <v>1.6E-2</v>
      </c>
      <c r="S80" s="3">
        <f>INDEX(rangeprovince, 42+population2value2+0, AX$133+cyclevalue-1)</f>
        <v>0.02</v>
      </c>
      <c r="T80" s="3">
        <f>INDEX(rangeprovince, 83+population2value2+0, AX$133+cyclevalue-1)</f>
        <v>1.6E-2</v>
      </c>
      <c r="U80" s="3">
        <f>INDEX(rangeprovince, 124+population2value2+0, AX$133+cyclevalue-1)</f>
        <v>1.6E-2</v>
      </c>
      <c r="V80" s="3">
        <f>INDEX(rangeprovince, 165+population2value2+0, AX$133+cyclevalue-1)</f>
        <v>6.0000000000000001E-3</v>
      </c>
      <c r="W80" s="3">
        <f>INDEX(rangeprovince, 206+population2value2+0, AX$133+cyclevalue-1)</f>
        <v>8.0000000000000002E-3</v>
      </c>
      <c r="X80" s="3">
        <f>INDEX(rangeprovince, 247+population2value2+0, AX$133+cyclevalue-1)</f>
        <v>1.6E-2</v>
      </c>
      <c r="Y80" s="3">
        <f>INDEX(rangeprovince, 288+population2value2+0, AX$133+cyclevalue-1)</f>
        <v>1.8000000000000002E-2</v>
      </c>
      <c r="Z80" s="3">
        <f>INDEX(rangeprovince, 329+population2value2+0, AX$133+cyclevalue-1)</f>
        <v>4.0000000000000001E-3</v>
      </c>
      <c r="AA80" s="3">
        <f>INDEX(rangeprovince, 370+population2value2+0, AX$133+cyclevalue-1)</f>
        <v>0.01</v>
      </c>
      <c r="AB80" s="3">
        <f>INDEX(rangeprovince, 411+population2value2+0, AX$133+cyclevalue-1)</f>
        <v>4.0000000000000001E-3</v>
      </c>
    </row>
    <row r="81" spans="2:28" s="40" customFormat="1" x14ac:dyDescent="0.3">
      <c r="B81" s="39"/>
      <c r="D81" s="41"/>
      <c r="E81" s="8" t="s">
        <v>9</v>
      </c>
      <c r="F81" s="2">
        <f>INDEX(rangeprovince, 1+1+population2value2+0, AB$133+cyclevalue-1)</f>
        <v>9182.2079999999987</v>
      </c>
      <c r="G81" s="2">
        <f>INDEX(rangeprovince, 1+ 42+population2value2+0, AB$133+cyclevalue-1)</f>
        <v>2761.1639999999998</v>
      </c>
      <c r="H81" s="2">
        <f>INDEX(rangeprovince, 1+83+population2value2+0, AB$133+cyclevalue-1)</f>
        <v>13437.06</v>
      </c>
      <c r="I81" s="2">
        <f>INDEX(rangeprovince, 1+ 124+population2value2+0, AB$133+cyclevalue-1)</f>
        <v>10580.681999999999</v>
      </c>
      <c r="J81" s="2">
        <f>INDEX(rangeprovince, 1+ 165+population2value2+0, AB$133+cyclevalue-1)</f>
        <v>63980.35</v>
      </c>
      <c r="K81" s="2">
        <f>INDEX(rangeprovince, 1+ 206+population2value2+0, AB$133+cyclevalue-1)</f>
        <v>96819.164000000004</v>
      </c>
      <c r="L81" s="2">
        <f>INDEX(rangeprovince, 1+247+population2value2+0, AB$133+cyclevalue-1)</f>
        <v>18298.488000000001</v>
      </c>
      <c r="M81" s="2">
        <f>INDEX(rangeprovince,1+ 288+population2value2+0, AB$133+cyclevalue-1)</f>
        <v>17952.620000000003</v>
      </c>
      <c r="N81" s="2">
        <f>INDEX(rangeprovince,1+ 329+population2value2+0, AB$133+cyclevalue-1)</f>
        <v>15254.096000000001</v>
      </c>
      <c r="O81" s="2">
        <f>INDEX(rangeprovince,1+ 370+population2value2+0, AB$133+cyclevalue-1)</f>
        <v>36327.480000000003</v>
      </c>
      <c r="P81" s="2">
        <f>INDEX(rangeprovince, 1+411+population2value2+0, AB$133+cyclevalue-1)</f>
        <v>129991.056</v>
      </c>
      <c r="R81" s="3">
        <f>INDEX(rangeprovince, 1+1+population2value2+0, AX$133+cyclevalue-1)</f>
        <v>1.9988610537864736E-2</v>
      </c>
      <c r="S81" s="3">
        <f>INDEX(rangeprovince, 1+ 42+population2value2+0, AX$133+cyclevalue-1)</f>
        <v>2.142962250093133E-2</v>
      </c>
      <c r="T81" s="3">
        <f>INDEX(rangeprovince, 1+83+population2value2+0, AX$133+cyclevalue-1)</f>
        <v>1.6457627035607204E-2</v>
      </c>
      <c r="U81" s="3">
        <f>INDEX(rangeprovince, 1+ 124+population2value2+0, AX$133+cyclevalue-1)</f>
        <v>1.6410569710956838E-2</v>
      </c>
      <c r="V81" s="3">
        <f>INDEX(rangeprovince, 1+ 165+population2value2+0, AX$133+cyclevalue-1)</f>
        <v>8.9378827531657497E-3</v>
      </c>
      <c r="W81" s="3">
        <f>INDEX(rangeprovince, 1+ 206+population2value2+0, AX$133+cyclevalue-1)</f>
        <v>7.9531935485752346E-3</v>
      </c>
      <c r="X81" s="3">
        <f>INDEX(rangeprovince, 1+247+population2value2+0, AX$133+cyclevalue-1)</f>
        <v>1.7318568743363034E-2</v>
      </c>
      <c r="Y81" s="3">
        <f>INDEX(rangeprovince,1+ 288+population2value2+0, AX$133+cyclevalue-1)</f>
        <v>1.9624231678616207E-2</v>
      </c>
      <c r="Z81" s="3">
        <f>INDEX(rangeprovince,1+ 329+population2value2+0, AX$133+cyclevalue-1)</f>
        <v>4.2627186327193868E-3</v>
      </c>
      <c r="AA81" s="3">
        <f>INDEX(rangeprovince,1+ 370+population2value2+0, AX$133+cyclevalue-1)</f>
        <v>8.7972716637247581E-3</v>
      </c>
      <c r="AB81" s="3">
        <f>INDEX(rangeprovince, 1+411+population2value2+0, AX$133+cyclevalue-1)</f>
        <v>4.1721005917729507E-3</v>
      </c>
    </row>
    <row r="82" spans="2:28" s="40" customFormat="1" x14ac:dyDescent="0.3">
      <c r="B82" s="39"/>
      <c r="D82" s="41"/>
      <c r="E82" s="8" t="s">
        <v>116</v>
      </c>
      <c r="F82" s="2">
        <f>INDEX(rangeprovince, 2+1+population2value2+0, AB$133+cyclevalue-1)</f>
        <v>11015.94</v>
      </c>
      <c r="G82" s="2">
        <f>INDEX(rangeprovince, 2+ 42+population2value2+0, AB$133+cyclevalue-1)</f>
        <v>3425.3439999999996</v>
      </c>
      <c r="H82" s="2">
        <f>INDEX(rangeprovince, 2+83+population2value2+0, AB$133+cyclevalue-1)</f>
        <v>16697.448</v>
      </c>
      <c r="I82" s="2">
        <f>INDEX(rangeprovince, 2+ 124+population2value2+0, AB$133+cyclevalue-1)</f>
        <v>15652.644000000002</v>
      </c>
      <c r="J82" s="2">
        <f>INDEX(rangeprovince, 2+ 165+population2value2+0, AB$133+cyclevalue-1)</f>
        <v>48873.743999999992</v>
      </c>
      <c r="K82" s="2">
        <f>INDEX(rangeprovince, 2+ 206+population2value2+0, AB$133+cyclevalue-1)</f>
        <v>116109.75200000001</v>
      </c>
      <c r="L82" s="2">
        <f>INDEX(rangeprovince, 2+247+population2value2+0, AB$133+cyclevalue-1)</f>
        <v>20768.175999999999</v>
      </c>
      <c r="M82" s="2">
        <f>INDEX(rangeprovince,2+ 288+population2value2+0, AB$133+cyclevalue-1)</f>
        <v>17456.569999999996</v>
      </c>
      <c r="N82" s="2">
        <f>INDEX(rangeprovince,2+ 329+population2value2+0, AB$133+cyclevalue-1)</f>
        <v>16150.6</v>
      </c>
      <c r="O82" s="2">
        <f>INDEX(rangeprovince,2+ 370+population2value2+0, AB$133+cyclevalue-1)</f>
        <v>34861.356</v>
      </c>
      <c r="P82" s="2">
        <f>INDEX(rangeprovince, 2+411+population2value2+0, AB$133+cyclevalue-1)</f>
        <v>151481.16</v>
      </c>
      <c r="R82" s="3">
        <f>INDEX(rangeprovince, 2+1+population2value2+0, AX$133+cyclevalue-1)</f>
        <v>2.3980434157937359E-2</v>
      </c>
      <c r="S82" s="3">
        <f>INDEX(rangeprovince, 2+ 42+population2value2+0, AX$133+cyclevalue-1)</f>
        <v>2.6584378492487272E-2</v>
      </c>
      <c r="T82" s="3">
        <f>INDEX(rangeprovince, 2+83+population2value2+0, AX$133+cyclevalue-1)</f>
        <v>2.0450929863411002E-2</v>
      </c>
      <c r="U82" s="3">
        <f>INDEX(rangeprovince, 2+ 124+population2value2+0, AX$133+cyclevalue-1)</f>
        <v>2.4277150142381208E-2</v>
      </c>
      <c r="V82" s="3">
        <f>INDEX(rangeprovince, 2+ 165+population2value2+0, AX$133+cyclevalue-1)</f>
        <v>6.8275305399273069E-3</v>
      </c>
      <c r="W82" s="3">
        <f>INDEX(rangeprovince, 2+ 206+population2value2+0, AX$133+cyclevalue-1)</f>
        <v>9.5378155768115341E-3</v>
      </c>
      <c r="X82" s="3">
        <f>INDEX(rangeprovince, 2+247+population2value2+0, AX$133+cyclevalue-1)</f>
        <v>1.9656000196861201E-2</v>
      </c>
      <c r="Y82" s="3">
        <f>INDEX(rangeprovince,2+ 288+population2value2+0, AX$133+cyclevalue-1)</f>
        <v>1.9081993268613789E-2</v>
      </c>
      <c r="Z82" s="3">
        <f>INDEX(rangeprovince,2+ 329+population2value2+0, AX$133+cyclevalue-1)</f>
        <v>4.5132444131463275E-3</v>
      </c>
      <c r="AA82" s="3">
        <f>INDEX(rangeprovince,2+ 370+population2value2+0, AX$133+cyclevalue-1)</f>
        <v>8.4422266366348843E-3</v>
      </c>
      <c r="AB82" s="3">
        <f>INDEX(rangeprovince, 2+411+population2value2+0, AX$133+cyclevalue-1)</f>
        <v>4.8618317038554787E-3</v>
      </c>
    </row>
    <row r="83" spans="2:28" s="40" customFormat="1" x14ac:dyDescent="0.3">
      <c r="B83" s="39"/>
      <c r="D83" s="41"/>
      <c r="E83" s="8" t="s">
        <v>10</v>
      </c>
      <c r="F83" s="2">
        <f>INDEX(rangeprovince, 3+1+population2value2+0, AB$133+cyclevalue-1)</f>
        <v>7080.1720000000005</v>
      </c>
      <c r="G83" s="2">
        <f>INDEX(rangeprovince, 3+ 42+population2value2+0, AB$133+cyclevalue-1)</f>
        <v>2427.5919999999996</v>
      </c>
      <c r="H83" s="2">
        <f>INDEX(rangeprovince, 3+83+population2value2+0, AB$133+cyclevalue-1)</f>
        <v>11319.951999999999</v>
      </c>
      <c r="I83" s="2">
        <f>INDEX(rangeprovince, 3+ 124+population2value2+0, AB$133+cyclevalue-1)</f>
        <v>10096.353999999999</v>
      </c>
      <c r="J83" s="2">
        <f>INDEX(rangeprovince, 3+ 165+population2value2+0, AB$133+cyclevalue-1)</f>
        <v>55872.733999999997</v>
      </c>
      <c r="K83" s="2">
        <f>INDEX(rangeprovince, 3+ 206+population2value2+0, AB$133+cyclevalue-1)</f>
        <v>98283.371999999988</v>
      </c>
      <c r="L83" s="2">
        <f>INDEX(rangeprovince, 3+247+population2value2+0, AB$133+cyclevalue-1)</f>
        <v>15137.604000000001</v>
      </c>
      <c r="M83" s="2">
        <f>INDEX(rangeprovince,3+ 288+population2value2+0, AB$133+cyclevalue-1)</f>
        <v>14278.11</v>
      </c>
      <c r="N83" s="2">
        <f>INDEX(rangeprovince,3+ 329+population2value2+0, AB$133+cyclevalue-1)</f>
        <v>14494.56</v>
      </c>
      <c r="O83" s="2">
        <f>INDEX(rangeprovince,3+ 370+population2value2+0, AB$133+cyclevalue-1)</f>
        <v>37224.81</v>
      </c>
      <c r="P83" s="2">
        <f>INDEX(rangeprovince, 3+411+population2value2+0, AB$133+cyclevalue-1)</f>
        <v>126798.56</v>
      </c>
      <c r="R83" s="3">
        <f>INDEX(rangeprovince, 3+1+population2value2+0, AX$133+cyclevalue-1)</f>
        <v>1.5412719974225685E-2</v>
      </c>
      <c r="S83" s="3">
        <f>INDEX(rangeprovince, 3+ 42+population2value2+0, AX$133+cyclevalue-1)</f>
        <v>1.8840742580404815E-2</v>
      </c>
      <c r="T83" s="3">
        <f>INDEX(rangeprovince, 3+83+population2value2+0, AX$133+cyclevalue-1)</f>
        <v>1.3864606400282191E-2</v>
      </c>
      <c r="U83" s="3">
        <f>INDEX(rangeprovince, 3+ 124+population2value2+0, AX$133+cyclevalue-1)</f>
        <v>1.565938009889135E-2</v>
      </c>
      <c r="V83" s="3">
        <f>INDEX(rangeprovince, 3+ 165+population2value2+0, AX$133+cyclevalue-1)</f>
        <v>7.8052706118490701E-3</v>
      </c>
      <c r="W83" s="3">
        <f>INDEX(rangeprovince, 3+ 206+population2value2+0, AX$133+cyclevalue-1)</f>
        <v>8.0734706625087138E-3</v>
      </c>
      <c r="X83" s="3">
        <f>INDEX(rangeprovince, 3+247+population2value2+0, AX$133+cyclevalue-1)</f>
        <v>1.4326956166203855E-2</v>
      </c>
      <c r="Y83" s="3">
        <f>INDEX(rangeprovince,3+ 288+population2value2+0, AX$133+cyclevalue-1)</f>
        <v>1.5607579204192305E-2</v>
      </c>
      <c r="Z83" s="3">
        <f>INDEX(rangeprovince,3+ 329+population2value2+0, AX$133+cyclevalue-1)</f>
        <v>4.050468214246792E-3</v>
      </c>
      <c r="AA83" s="3">
        <f>INDEX(rangeprovince,3+ 370+population2value2+0, AX$133+cyclevalue-1)</f>
        <v>9.0145742617032051E-3</v>
      </c>
      <c r="AB83" s="3">
        <f>INDEX(rangeprovince, 3+411+population2value2+0, AX$133+cyclevalue-1)</f>
        <v>4.0696365080068117E-3</v>
      </c>
    </row>
    <row r="84" spans="2:28" s="40" customFormat="1" x14ac:dyDescent="0.3">
      <c r="B84" s="39"/>
      <c r="D84" s="41"/>
      <c r="E84" s="8" t="s">
        <v>6</v>
      </c>
      <c r="F84" s="2">
        <f>INDEX(rangeprovince, 4+1+population2value2+0, AB$133+cyclevalue-1)</f>
        <v>11876.608</v>
      </c>
      <c r="G84" s="2">
        <f>INDEX(rangeprovince, 4+ 42+population2value2+0, AB$133+cyclevalue-1)</f>
        <v>3653.7080000000001</v>
      </c>
      <c r="H84" s="2">
        <f>INDEX(rangeprovince, 4+83+population2value2+0, AB$133+cyclevalue-1)</f>
        <v>17248.764000000003</v>
      </c>
      <c r="I84" s="2">
        <f>INDEX(rangeprovince, 4+ 124+population2value2+0, AB$133+cyclevalue-1)</f>
        <v>16404.545999999998</v>
      </c>
      <c r="J84" s="2">
        <f>INDEX(rangeprovince, 4+ 165+population2value2+0, AB$133+cyclevalue-1)</f>
        <v>69095.952000000005</v>
      </c>
      <c r="K84" s="2">
        <f>INDEX(rangeprovince, 4+ 206+population2value2+0, AB$133+cyclevalue-1)</f>
        <v>148409.136</v>
      </c>
      <c r="L84" s="2">
        <f>INDEX(rangeprovince, 4+247+population2value2+0, AB$133+cyclevalue-1)</f>
        <v>23544.961999999996</v>
      </c>
      <c r="M84" s="2">
        <f>INDEX(rangeprovince,4+ 288+population2value2+0, AB$133+cyclevalue-1)</f>
        <v>19447.2</v>
      </c>
      <c r="N84" s="2">
        <f>INDEX(rangeprovince,4+ 329+population2value2+0, AB$133+cyclevalue-1)</f>
        <v>20775.696</v>
      </c>
      <c r="O84" s="2">
        <f>INDEX(rangeprovince,4+ 370+population2value2+0, AB$133+cyclevalue-1)</f>
        <v>53386.372000000003</v>
      </c>
      <c r="P84" s="2">
        <f>INDEX(rangeprovince, 4+411+population2value2+0, AB$133+cyclevalue-1)</f>
        <v>175452.61199999999</v>
      </c>
      <c r="R84" s="3">
        <f>INDEX(rangeprovince, 4+1+population2value2+0, AX$133+cyclevalue-1)</f>
        <v>2.5854009386727966E-2</v>
      </c>
      <c r="S84" s="3">
        <f>INDEX(rangeprovince, 4+ 42+population2value2+0, AX$133+cyclevalue-1)</f>
        <v>2.8356730411026949E-2</v>
      </c>
      <c r="T84" s="3">
        <f>INDEX(rangeprovince, 4+83+population2value2+0, AX$133+cyclevalue-1)</f>
        <v>2.1126178251582438E-2</v>
      </c>
      <c r="U84" s="3">
        <f>INDEX(rangeprovince, 4+ 124+population2value2+0, AX$133+cyclevalue-1)</f>
        <v>2.5443345307003665E-2</v>
      </c>
      <c r="V84" s="3">
        <f>INDEX(rangeprovince, 4+ 165+population2value2+0, AX$133+cyclevalue-1)</f>
        <v>9.6525185888224826E-3</v>
      </c>
      <c r="W84" s="3">
        <f>INDEX(rangeprovince, 4+ 206+population2value2+0, AX$133+cyclevalue-1)</f>
        <v>1.2191042911554418E-2</v>
      </c>
      <c r="X84" s="3">
        <f>INDEX(rangeprovince, 4+247+population2value2+0, AX$133+cyclevalue-1)</f>
        <v>2.2284083961301628E-2</v>
      </c>
      <c r="Y84" s="3">
        <f>INDEX(rangeprovince,4+ 288+population2value2+0, AX$133+cyclevalue-1)</f>
        <v>2.1257975621407077E-2</v>
      </c>
      <c r="Z84" s="3">
        <f>INDEX(rangeprovince,4+ 329+population2value2+0, AX$133+cyclevalue-1)</f>
        <v>5.8057158186832995E-3</v>
      </c>
      <c r="AA84" s="3">
        <f>INDEX(rangeprovince,4+ 370+population2value2+0, AX$133+cyclevalue-1)</f>
        <v>1.2928351144221089E-2</v>
      </c>
      <c r="AB84" s="3">
        <f>INDEX(rangeprovince, 4+411+population2value2+0, AX$133+cyclevalue-1)</f>
        <v>5.6312023986735656E-3</v>
      </c>
    </row>
    <row r="85" spans="2:28" s="40" customFormat="1" x14ac:dyDescent="0.3">
      <c r="B85" s="39"/>
      <c r="D85" s="41"/>
      <c r="E85" s="8"/>
      <c r="F85" s="2"/>
      <c r="G85" s="2"/>
      <c r="H85" s="2"/>
      <c r="I85" s="2"/>
      <c r="J85" s="2"/>
      <c r="K85" s="2"/>
      <c r="L85" s="2"/>
      <c r="M85" s="2"/>
      <c r="N85" s="2"/>
      <c r="O85" s="2"/>
      <c r="P85" s="2"/>
      <c r="R85" s="3">
        <f t="shared" ref="R85:AB85" si="22">SUM(R81:R83)</f>
        <v>5.938176467002778E-2</v>
      </c>
      <c r="S85" s="3">
        <f t="shared" si="22"/>
        <v>6.6854743573823414E-2</v>
      </c>
      <c r="T85" s="3">
        <f t="shared" si="22"/>
        <v>5.0773163299300393E-2</v>
      </c>
      <c r="U85" s="3">
        <f t="shared" si="22"/>
        <v>5.6347099952229404E-2</v>
      </c>
      <c r="V85" s="3">
        <f t="shared" si="22"/>
        <v>2.3570683904942127E-2</v>
      </c>
      <c r="W85" s="3">
        <f t="shared" si="22"/>
        <v>2.5564479787895483E-2</v>
      </c>
      <c r="X85" s="3">
        <f t="shared" si="22"/>
        <v>5.1301525106428089E-2</v>
      </c>
      <c r="Y85" s="3">
        <f t="shared" si="22"/>
        <v>5.4313804151422305E-2</v>
      </c>
      <c r="Z85" s="3">
        <f t="shared" si="22"/>
        <v>1.2826431260112507E-2</v>
      </c>
      <c r="AA85" s="3">
        <f t="shared" si="22"/>
        <v>2.6254072562062847E-2</v>
      </c>
      <c r="AB85" s="3">
        <f t="shared" si="22"/>
        <v>1.3103568803635241E-2</v>
      </c>
    </row>
    <row r="86" spans="2:28" s="40" customFormat="1" x14ac:dyDescent="0.3">
      <c r="B86" s="39"/>
      <c r="D86" s="41"/>
      <c r="E86" s="12"/>
      <c r="F86" s="2"/>
      <c r="G86" s="2"/>
      <c r="H86" s="2"/>
      <c r="I86" s="2"/>
      <c r="J86" s="2"/>
      <c r="K86" s="2"/>
      <c r="L86" s="2"/>
      <c r="M86" s="2"/>
      <c r="N86" s="2"/>
      <c r="O86" s="2"/>
      <c r="P86" s="2"/>
      <c r="R86" s="3"/>
      <c r="S86" s="3"/>
      <c r="T86" s="3"/>
      <c r="U86" s="3"/>
      <c r="V86" s="3"/>
      <c r="W86" s="3"/>
      <c r="X86" s="3"/>
      <c r="Y86" s="3"/>
      <c r="Z86" s="3"/>
      <c r="AA86" s="3"/>
      <c r="AB86" s="3"/>
    </row>
    <row r="87" spans="2:28" s="40" customFormat="1" x14ac:dyDescent="0.3">
      <c r="B87" s="39"/>
      <c r="D87" s="41"/>
      <c r="E87" s="12"/>
      <c r="F87" s="2"/>
      <c r="G87" s="2"/>
      <c r="H87" s="2"/>
      <c r="I87" s="2"/>
      <c r="J87" s="2"/>
      <c r="K87" s="2"/>
      <c r="L87" s="2"/>
      <c r="M87" s="2"/>
      <c r="N87" s="2"/>
      <c r="O87" s="2"/>
      <c r="P87" s="2"/>
      <c r="R87" s="3"/>
      <c r="S87" s="3"/>
      <c r="T87" s="3"/>
      <c r="U87" s="3"/>
      <c r="V87" s="3"/>
      <c r="W87" s="3"/>
      <c r="X87" s="3"/>
      <c r="Y87" s="3"/>
      <c r="Z87" s="3"/>
      <c r="AA87" s="3"/>
      <c r="AB87" s="3"/>
    </row>
    <row r="88" spans="2:28" s="12" customFormat="1" x14ac:dyDescent="0.3">
      <c r="B88" s="7"/>
      <c r="C88" s="12" t="s">
        <v>92</v>
      </c>
      <c r="D88" s="30"/>
      <c r="E88" s="43" t="s">
        <v>59</v>
      </c>
      <c r="F88" s="42" t="s">
        <v>81</v>
      </c>
      <c r="G88" s="42" t="s">
        <v>53</v>
      </c>
      <c r="H88" s="42" t="s">
        <v>61</v>
      </c>
      <c r="I88" s="42" t="s">
        <v>62</v>
      </c>
      <c r="J88" s="42" t="s">
        <v>82</v>
      </c>
      <c r="K88" s="42" t="s">
        <v>83</v>
      </c>
      <c r="L88" s="42" t="s">
        <v>98</v>
      </c>
      <c r="M88" s="42" t="s">
        <v>85</v>
      </c>
      <c r="N88" s="42" t="s">
        <v>86</v>
      </c>
      <c r="O88" s="42" t="s">
        <v>67</v>
      </c>
      <c r="P88" s="43" t="s">
        <v>158</v>
      </c>
      <c r="R88" s="42" t="s">
        <v>81</v>
      </c>
      <c r="S88" s="42" t="s">
        <v>53</v>
      </c>
      <c r="T88" s="42" t="s">
        <v>61</v>
      </c>
      <c r="U88" s="42" t="s">
        <v>62</v>
      </c>
      <c r="V88" s="42" t="s">
        <v>82</v>
      </c>
      <c r="W88" s="42" t="s">
        <v>83</v>
      </c>
      <c r="X88" s="42" t="s">
        <v>98</v>
      </c>
      <c r="Y88" s="42" t="s">
        <v>85</v>
      </c>
      <c r="Z88" s="42" t="s">
        <v>86</v>
      </c>
      <c r="AA88" s="42" t="s">
        <v>67</v>
      </c>
      <c r="AB88" s="43" t="s">
        <v>158</v>
      </c>
    </row>
    <row r="89" spans="2:28" s="40" customFormat="1" x14ac:dyDescent="0.3">
      <c r="B89" s="39"/>
      <c r="D89" s="41"/>
      <c r="E89" s="10" t="s">
        <v>7</v>
      </c>
      <c r="F89" s="90">
        <f>INDEX(rangeprovince, 1+population2value2+0, $Q$133+cyclevalue-1)</f>
        <v>0.8</v>
      </c>
      <c r="G89" s="90">
        <f>INDEX(rangeprovince, 42+population2value2+0, $Q$133+cyclevalue-1)</f>
        <v>1</v>
      </c>
      <c r="H89" s="90">
        <f>INDEX(rangeprovince, 83+population2value2+0, $Q$133+cyclevalue-1)</f>
        <v>0.8</v>
      </c>
      <c r="I89" s="90">
        <f>INDEX(rangeprovince, 124+population2value2+0, $Q$133+cyclevalue-1)</f>
        <v>0.8</v>
      </c>
      <c r="J89" s="90">
        <f>INDEX(rangeprovince, 165+population2value2+0, $Q$133+cyclevalue-1)</f>
        <v>0.3</v>
      </c>
      <c r="K89" s="90">
        <f>INDEX(rangeprovince, 206+population2value2+0, $Q$133+cyclevalue-1)</f>
        <v>0.4</v>
      </c>
      <c r="L89" s="90">
        <f>INDEX(rangeprovince, 247+population2value2+0, $Q$133+cyclevalue-1)</f>
        <v>0.8</v>
      </c>
      <c r="M89" s="90">
        <f>INDEX(rangeprovince, 288+population2value2+0, $Q$133+cyclevalue-1)</f>
        <v>0.9</v>
      </c>
      <c r="N89" s="90">
        <f>INDEX(rangeprovince, 329+population2value2+0, $Q$133+cyclevalue-1)</f>
        <v>0.2</v>
      </c>
      <c r="O89" s="90">
        <f>INDEX(rangeprovince, 370+population2value2+0, $Q$133+cyclevalue-1)</f>
        <v>0.5</v>
      </c>
      <c r="P89" s="90">
        <f>INDEX(rangeprovince, 411+population2value2+0, $Q$133+cyclevalue-1)</f>
        <v>0.2</v>
      </c>
      <c r="R89" s="90">
        <f>INDEX(rangeprovince, 1+population2value2+0, $Q$133+cyclevalue-1)</f>
        <v>0.8</v>
      </c>
      <c r="S89" s="90">
        <f>INDEX(rangeprovince, 42+population2value2+0, $Q$133+cyclevalue-1)</f>
        <v>1</v>
      </c>
      <c r="T89" s="90">
        <f>INDEX(rangeprovince, 83+population2value2+0, $Q$133+cyclevalue-1)</f>
        <v>0.8</v>
      </c>
      <c r="U89" s="90">
        <f>INDEX(rangeprovince, 124+population2value2+0, $Q$133+cyclevalue-1)</f>
        <v>0.8</v>
      </c>
      <c r="V89" s="90">
        <f>INDEX(rangeprovince, 165+population2value2+0, $Q$133+cyclevalue-1)</f>
        <v>0.3</v>
      </c>
      <c r="W89" s="90">
        <f>INDEX(rangeprovince, 206+population2value2+0, $Q$133+cyclevalue-1)</f>
        <v>0.4</v>
      </c>
      <c r="X89" s="90">
        <f>INDEX(rangeprovince, 247+population2value2+0, $Q$133+cyclevalue-1)</f>
        <v>0.8</v>
      </c>
      <c r="Y89" s="90">
        <f>INDEX(rangeprovince, 288+population2value2+0, $Q$133+cyclevalue-1)</f>
        <v>0.9</v>
      </c>
      <c r="Z89" s="90">
        <f>INDEX(rangeprovince, 329+population2value2+0, $Q$133+cyclevalue-1)</f>
        <v>0.2</v>
      </c>
      <c r="AA89" s="90">
        <f>INDEX(rangeprovince, 370+population2value2+0, $Q$133+cyclevalue-1)</f>
        <v>0.5</v>
      </c>
      <c r="AB89" s="90">
        <f>INDEX(rangeprovince, 411+population2value2+0, $Q$133+cyclevalue-1)</f>
        <v>0.2</v>
      </c>
    </row>
    <row r="90" spans="2:28" s="40" customFormat="1" x14ac:dyDescent="0.3">
      <c r="B90" s="39"/>
      <c r="D90" s="41"/>
      <c r="E90" s="8" t="s">
        <v>9</v>
      </c>
      <c r="F90" s="90">
        <f>INDEX(rangeprovince, 1+1+population2value2+0, $Q$133+cyclevalue-1)</f>
        <v>4.8</v>
      </c>
      <c r="G90" s="90">
        <f>INDEX(rangeprovince, 1+ 42+population2value2+0, $Q$133+cyclevalue-1)</f>
        <v>6.3</v>
      </c>
      <c r="H90" s="90">
        <f>INDEX(rangeprovince, 1+83+population2value2+0, $Q$133+cyclevalue-1)</f>
        <v>4.5999999999999996</v>
      </c>
      <c r="I90" s="90">
        <f>INDEX(rangeprovince, 1+ 124+population2value2+0, $Q$133+cyclevalue-1)</f>
        <v>5.7</v>
      </c>
      <c r="J90" s="90">
        <f>INDEX(rangeprovince, 1+ 165+population2value2+0, $Q$133+cyclevalue-1)</f>
        <v>2.5</v>
      </c>
      <c r="K90" s="90">
        <f>INDEX(rangeprovince, 1+ 206+population2value2+0, $Q$133+cyclevalue-1)</f>
        <v>2.6</v>
      </c>
      <c r="L90" s="90">
        <f>INDEX(rangeprovince, 1+247+population2value2+0, $Q$133+cyclevalue-1)</f>
        <v>5.2</v>
      </c>
      <c r="M90" s="90">
        <f>INDEX(rangeprovince,1+ 288+population2value2+0, $Q$133+cyclevalue-1)</f>
        <v>4.9000000000000004</v>
      </c>
      <c r="N90" s="90">
        <f>INDEX(rangeprovince,1+ 329+population2value2+0, $Q$133+cyclevalue-1)</f>
        <v>1.3</v>
      </c>
      <c r="O90" s="90">
        <f>INDEX(rangeprovince,1+ 370+population2value2+0, $Q$133+cyclevalue-1)</f>
        <v>3.5</v>
      </c>
      <c r="P90" s="90">
        <f>INDEX(rangeprovince, 1+411+population2value2+0, $Q$133+cyclevalue-1)</f>
        <v>1.3</v>
      </c>
      <c r="R90" s="90">
        <f>INDEX(rangeprovince, 1+1+population2value2+0, $Q$133+cyclevalue-1)</f>
        <v>4.8</v>
      </c>
      <c r="S90" s="90">
        <f>INDEX(rangeprovince, 1+ 42+population2value2+0, $Q$133+cyclevalue-1)</f>
        <v>6.3</v>
      </c>
      <c r="T90" s="90">
        <f>INDEX(rangeprovince, 1+83+population2value2+0, $Q$133+cyclevalue-1)</f>
        <v>4.5999999999999996</v>
      </c>
      <c r="U90" s="90">
        <f>INDEX(rangeprovince, 1+ 124+population2value2+0, $Q$133+cyclevalue-1)</f>
        <v>5.7</v>
      </c>
      <c r="V90" s="90">
        <f>INDEX(rangeprovince, 1+ 165+population2value2+0, $Q$133+cyclevalue-1)</f>
        <v>2.5</v>
      </c>
      <c r="W90" s="90">
        <f>INDEX(rangeprovince, 1+ 206+population2value2+0, $Q$133+cyclevalue-1)</f>
        <v>2.6</v>
      </c>
      <c r="X90" s="90">
        <f>INDEX(rangeprovince, 1+247+population2value2+0, $Q$133+cyclevalue-1)</f>
        <v>5.2</v>
      </c>
      <c r="Y90" s="90">
        <f>INDEX(rangeprovince,1+ 288+population2value2+0, $Q$133+cyclevalue-1)</f>
        <v>4.9000000000000004</v>
      </c>
      <c r="Z90" s="90">
        <f>INDEX(rangeprovince,1+ 329+population2value2+0, $Q$133+cyclevalue-1)</f>
        <v>1.3</v>
      </c>
      <c r="AA90" s="90">
        <f>INDEX(rangeprovince,1+ 370+population2value2+0, $Q$133+cyclevalue-1)</f>
        <v>3.5</v>
      </c>
      <c r="AB90" s="90">
        <f>INDEX(rangeprovince, 1+411+population2value2+0, $Q$133+cyclevalue-1)</f>
        <v>1.3</v>
      </c>
    </row>
    <row r="91" spans="2:28" s="40" customFormat="1" x14ac:dyDescent="0.3">
      <c r="B91" s="39"/>
      <c r="D91" s="41"/>
      <c r="E91" s="8" t="s">
        <v>116</v>
      </c>
      <c r="F91" s="90">
        <f>INDEX(rangeprovince, 2+1+population2value2+0, $Q$133+cyclevalue-1)</f>
        <v>3.9</v>
      </c>
      <c r="G91" s="90">
        <f>INDEX(rangeprovince, 2+ 42+population2value2+0, $Q$133+cyclevalue-1)</f>
        <v>4.5999999999999996</v>
      </c>
      <c r="H91" s="90">
        <f>INDEX(rangeprovince, 2+83+population2value2+0, $Q$133+cyclevalue-1)</f>
        <v>3.6</v>
      </c>
      <c r="I91" s="90">
        <f>INDEX(rangeprovince, 2+ 124+population2value2+0, $Q$133+cyclevalue-1)</f>
        <v>4.2</v>
      </c>
      <c r="J91" s="90">
        <f>INDEX(rangeprovince, 2+ 165+population2value2+0, $Q$133+cyclevalue-1)</f>
        <v>1.2</v>
      </c>
      <c r="K91" s="90">
        <f>INDEX(rangeprovince, 2+ 206+population2value2+0, $Q$133+cyclevalue-1)</f>
        <v>2.2000000000000002</v>
      </c>
      <c r="L91" s="90">
        <f>INDEX(rangeprovince, 2+247+population2value2+0, $Q$133+cyclevalue-1)</f>
        <v>4.4000000000000004</v>
      </c>
      <c r="M91" s="90">
        <f>INDEX(rangeprovince,2+ 288+population2value2+0, $Q$133+cyclevalue-1)</f>
        <v>4.0999999999999996</v>
      </c>
      <c r="N91" s="90">
        <f>INDEX(rangeprovince,2+ 329+population2value2+0, $Q$133+cyclevalue-1)</f>
        <v>1</v>
      </c>
      <c r="O91" s="90">
        <f>INDEX(rangeprovince,2+ 370+population2value2+0, $Q$133+cyclevalue-1)</f>
        <v>1.7</v>
      </c>
      <c r="P91" s="90">
        <f>INDEX(rangeprovince, 2+411+population2value2+0, $Q$133+cyclevalue-1)</f>
        <v>1</v>
      </c>
      <c r="R91" s="90">
        <f>INDEX(rangeprovince, 2+1+population2value2+0, $Q$133+cyclevalue-1)</f>
        <v>3.9</v>
      </c>
      <c r="S91" s="90">
        <f>INDEX(rangeprovince, 2+ 42+population2value2+0, $Q$133+cyclevalue-1)</f>
        <v>4.5999999999999996</v>
      </c>
      <c r="T91" s="90">
        <f>INDEX(rangeprovince, 2+83+population2value2+0, $Q$133+cyclevalue-1)</f>
        <v>3.6</v>
      </c>
      <c r="U91" s="90">
        <f>INDEX(rangeprovince, 2+ 124+population2value2+0, $Q$133+cyclevalue-1)</f>
        <v>4.2</v>
      </c>
      <c r="V91" s="90">
        <f>INDEX(rangeprovince, 2+ 165+population2value2+0, $Q$133+cyclevalue-1)</f>
        <v>1.2</v>
      </c>
      <c r="W91" s="90">
        <f>INDEX(rangeprovince, 2+ 206+population2value2+0, $Q$133+cyclevalue-1)</f>
        <v>2.2000000000000002</v>
      </c>
      <c r="X91" s="90">
        <f>INDEX(rangeprovince, 2+247+population2value2+0, $Q$133+cyclevalue-1)</f>
        <v>4.4000000000000004</v>
      </c>
      <c r="Y91" s="90">
        <f>INDEX(rangeprovince,2+ 288+population2value2+0, $Q$133+cyclevalue-1)</f>
        <v>4.0999999999999996</v>
      </c>
      <c r="Z91" s="90">
        <f>INDEX(rangeprovince,2+ 329+population2value2+0, $Q$133+cyclevalue-1)</f>
        <v>1</v>
      </c>
      <c r="AA91" s="90">
        <f>INDEX(rangeprovince,2+ 370+population2value2+0, $Q$133+cyclevalue-1)</f>
        <v>1.7</v>
      </c>
      <c r="AB91" s="90">
        <f>INDEX(rangeprovince, 2+411+population2value2+0, $Q$133+cyclevalue-1)</f>
        <v>1</v>
      </c>
    </row>
    <row r="92" spans="2:28" s="40" customFormat="1" x14ac:dyDescent="0.3">
      <c r="B92" s="39"/>
      <c r="D92" s="41"/>
      <c r="E92" s="8" t="s">
        <v>10</v>
      </c>
      <c r="F92" s="90">
        <f>INDEX(rangeprovince, 3+1+population2value2+0, $Q$133+cyclevalue-1)</f>
        <v>7.4</v>
      </c>
      <c r="G92" s="90">
        <f>INDEX(rangeprovince, 3+ 42+population2value2+0, $Q$133+cyclevalue-1)</f>
        <v>7.6</v>
      </c>
      <c r="H92" s="90">
        <f>INDEX(rangeprovince, 3+83+population2value2+0, $Q$133+cyclevalue-1)</f>
        <v>5.3</v>
      </c>
      <c r="I92" s="90">
        <f>INDEX(rangeprovince, 3+ 124+population2value2+0, $Q$133+cyclevalue-1)</f>
        <v>6.1</v>
      </c>
      <c r="J92" s="90">
        <f>INDEX(rangeprovince, 3+ 165+population2value2+0, $Q$133+cyclevalue-1)</f>
        <v>2.9</v>
      </c>
      <c r="K92" s="90">
        <f>INDEX(rangeprovince, 3+ 206+population2value2+0, $Q$133+cyclevalue-1)</f>
        <v>3.3</v>
      </c>
      <c r="L92" s="90">
        <f>INDEX(rangeprovince, 3+247+population2value2+0, $Q$133+cyclevalue-1)</f>
        <v>5.7</v>
      </c>
      <c r="M92" s="90">
        <f>INDEX(rangeprovince,3+ 288+population2value2+0, $Q$133+cyclevalue-1)</f>
        <v>5.5</v>
      </c>
      <c r="N92" s="90">
        <f>INDEX(rangeprovince,3+ 329+population2value2+0, $Q$133+cyclevalue-1)</f>
        <v>1.6</v>
      </c>
      <c r="O92" s="90">
        <f>INDEX(rangeprovince,3+ 370+population2value2+0, $Q$133+cyclevalue-1)</f>
        <v>3.5</v>
      </c>
      <c r="P92" s="90">
        <f>INDEX(rangeprovince, 3+411+population2value2+0, $Q$133+cyclevalue-1)</f>
        <v>1.6</v>
      </c>
      <c r="R92" s="90">
        <f>INDEX(rangeprovince, 3+1+population2value2+0, $Q$133+cyclevalue-1)</f>
        <v>7.4</v>
      </c>
      <c r="S92" s="90">
        <f>INDEX(rangeprovince, 3+ 42+population2value2+0, $Q$133+cyclevalue-1)</f>
        <v>7.6</v>
      </c>
      <c r="T92" s="90">
        <f>INDEX(rangeprovince, 3+83+population2value2+0, $Q$133+cyclevalue-1)</f>
        <v>5.3</v>
      </c>
      <c r="U92" s="90">
        <f>INDEX(rangeprovince, 3+ 124+population2value2+0, $Q$133+cyclevalue-1)</f>
        <v>6.1</v>
      </c>
      <c r="V92" s="90">
        <f>INDEX(rangeprovince, 3+ 165+population2value2+0, $Q$133+cyclevalue-1)</f>
        <v>2.9</v>
      </c>
      <c r="W92" s="90">
        <f>INDEX(rangeprovince, 3+ 206+population2value2+0, $Q$133+cyclevalue-1)</f>
        <v>3.3</v>
      </c>
      <c r="X92" s="90">
        <f>INDEX(rangeprovince, 3+247+population2value2+0, $Q$133+cyclevalue-1)</f>
        <v>5.7</v>
      </c>
      <c r="Y92" s="90">
        <f>INDEX(rangeprovince,3+ 288+population2value2+0, $Q$133+cyclevalue-1)</f>
        <v>5.5</v>
      </c>
      <c r="Z92" s="90">
        <f>INDEX(rangeprovince,3+ 329+population2value2+0, $Q$133+cyclevalue-1)</f>
        <v>1.6</v>
      </c>
      <c r="AA92" s="90">
        <f>INDEX(rangeprovince,3+ 370+population2value2+0, $Q$133+cyclevalue-1)</f>
        <v>3.5</v>
      </c>
      <c r="AB92" s="90">
        <f>INDEX(rangeprovince, 3+411+population2value2+0, $Q$133+cyclevalue-1)</f>
        <v>1.6</v>
      </c>
    </row>
    <row r="93" spans="2:28" s="40" customFormat="1" x14ac:dyDescent="0.3">
      <c r="B93" s="39"/>
      <c r="D93" s="41"/>
      <c r="E93" s="8" t="s">
        <v>6</v>
      </c>
      <c r="F93" s="2">
        <f>INDEX(rangeprovince, 4+1+population2value2+0, $Q$133+cyclevalue-1)</f>
        <v>3.4</v>
      </c>
      <c r="G93" s="2">
        <f>INDEX(rangeprovince, 4+ 42+population2value2+0, $Q$133+cyclevalue-1)</f>
        <v>3.4</v>
      </c>
      <c r="H93" s="2">
        <f>INDEX(rangeprovince, 4+83+population2value2+0, $Q$133+cyclevalue-1)</f>
        <v>2.6</v>
      </c>
      <c r="I93" s="2">
        <f>INDEX(rangeprovince, 4+ 124+population2value2+0, $Q$133+cyclevalue-1)</f>
        <v>2.9</v>
      </c>
      <c r="J93" s="2">
        <f>INDEX(rangeprovince, 4+ 165+population2value2+0, $Q$133+cyclevalue-1)</f>
        <v>1.2</v>
      </c>
      <c r="K93" s="2">
        <f>INDEX(rangeprovince, 4+ 206+population2value2+0, $Q$133+cyclevalue-1)</f>
        <v>1.2</v>
      </c>
      <c r="L93" s="2">
        <f>INDEX(rangeprovince, 4+247+population2value2+0, $Q$133+cyclevalue-1)</f>
        <v>2.2999999999999998</v>
      </c>
      <c r="M93" s="2">
        <f>INDEX(rangeprovince,4+ 288+population2value2+0, $Q$133+cyclevalue-1)</f>
        <v>2.5</v>
      </c>
      <c r="N93" s="2">
        <f>INDEX(rangeprovince,4+ 329+population2value2+0, $Q$133+cyclevalue-1)</f>
        <v>0.6</v>
      </c>
      <c r="O93" s="2">
        <f>INDEX(rangeprovince,4+ 370+population2value2+0, $Q$133+cyclevalue-1)</f>
        <v>1.3</v>
      </c>
      <c r="P93" s="2">
        <f>INDEX(rangeprovince, 4+411+population2value2+0, $Q$133+cyclevalue-1)</f>
        <v>0.6</v>
      </c>
      <c r="R93" s="2">
        <f>INDEX(rangeprovince, 4+1+population2value2+0, $Q$133+cyclevalue-1)</f>
        <v>3.4</v>
      </c>
      <c r="S93" s="2">
        <f>INDEX(rangeprovince, 4+ 42+population2value2+0, $Q$133+cyclevalue-1)</f>
        <v>3.4</v>
      </c>
      <c r="T93" s="2">
        <f>INDEX(rangeprovince, 4+83+population2value2+0, $Q$133+cyclevalue-1)</f>
        <v>2.6</v>
      </c>
      <c r="U93" s="2">
        <f>INDEX(rangeprovince, 4+ 124+population2value2+0, $Q$133+cyclevalue-1)</f>
        <v>2.9</v>
      </c>
      <c r="V93" s="2">
        <f>INDEX(rangeprovince, 4+ 165+population2value2+0, $Q$133+cyclevalue-1)</f>
        <v>1.2</v>
      </c>
      <c r="W93" s="2">
        <f>INDEX(rangeprovince, 4+ 206+population2value2+0, $Q$133+cyclevalue-1)</f>
        <v>1.2</v>
      </c>
      <c r="X93" s="2">
        <f>INDEX(rangeprovince, 4+247+population2value2+0, $Q$133+cyclevalue-1)</f>
        <v>2.2999999999999998</v>
      </c>
      <c r="Y93" s="2">
        <f>INDEX(rangeprovince,4+ 288+population2value2+0, $Q$133+cyclevalue-1)</f>
        <v>2.5</v>
      </c>
      <c r="Z93" s="2">
        <f>INDEX(rangeprovince,4+ 329+population2value2+0, $Q$133+cyclevalue-1)</f>
        <v>0.6</v>
      </c>
      <c r="AA93" s="2">
        <f>INDEX(rangeprovince,4+ 370+population2value2+0, $Q$133+cyclevalue-1)</f>
        <v>1.3</v>
      </c>
      <c r="AB93" s="2">
        <f>INDEX(rangeprovince, 4+411+population2value2+0, $Q$133+cyclevalue-1)</f>
        <v>0.6</v>
      </c>
    </row>
    <row r="94" spans="2:28" s="40" customFormat="1" x14ac:dyDescent="0.3">
      <c r="B94" s="39"/>
      <c r="D94" s="41"/>
      <c r="E94" s="8"/>
      <c r="F94" s="90"/>
      <c r="G94" s="90"/>
      <c r="H94" s="90"/>
      <c r="I94" s="90"/>
      <c r="J94" s="90"/>
      <c r="K94" s="90"/>
      <c r="L94" s="90"/>
      <c r="M94" s="90"/>
      <c r="N94" s="90"/>
      <c r="O94" s="90"/>
      <c r="P94" s="90"/>
      <c r="R94" s="90"/>
      <c r="S94" s="90"/>
      <c r="T94" s="90"/>
      <c r="U94" s="90"/>
      <c r="V94" s="90"/>
      <c r="W94" s="90"/>
      <c r="X94" s="90"/>
      <c r="Y94" s="90"/>
      <c r="Z94" s="90"/>
      <c r="AA94" s="90"/>
      <c r="AB94" s="90"/>
    </row>
    <row r="95" spans="2:28" s="40" customFormat="1" x14ac:dyDescent="0.3">
      <c r="B95" s="39"/>
      <c r="D95" s="41"/>
      <c r="E95" s="12"/>
      <c r="F95" s="90"/>
      <c r="G95" s="90"/>
      <c r="H95" s="90"/>
      <c r="I95" s="90"/>
      <c r="J95" s="90"/>
      <c r="K95" s="90"/>
      <c r="L95" s="90"/>
      <c r="M95" s="90"/>
      <c r="N95" s="90"/>
      <c r="O95" s="90"/>
      <c r="P95" s="90"/>
      <c r="R95" s="90"/>
      <c r="S95" s="90"/>
      <c r="T95" s="90"/>
      <c r="U95" s="90"/>
      <c r="V95" s="90"/>
      <c r="W95" s="90"/>
      <c r="X95" s="90"/>
      <c r="Y95" s="90"/>
      <c r="Z95" s="90"/>
      <c r="AA95" s="90"/>
      <c r="AB95" s="90"/>
    </row>
    <row r="96" spans="2:28" s="40" customFormat="1" x14ac:dyDescent="0.3">
      <c r="B96" s="39"/>
      <c r="D96" s="41"/>
      <c r="E96" s="12"/>
      <c r="F96" s="90"/>
      <c r="G96" s="90"/>
      <c r="H96" s="90"/>
      <c r="I96" s="90"/>
      <c r="J96" s="90"/>
      <c r="K96" s="90"/>
      <c r="L96" s="90"/>
      <c r="M96" s="90"/>
      <c r="N96" s="90"/>
      <c r="O96" s="90"/>
      <c r="P96" s="90"/>
      <c r="R96" s="90"/>
      <c r="S96" s="90"/>
      <c r="T96" s="90"/>
      <c r="U96" s="90"/>
      <c r="V96" s="90"/>
      <c r="W96" s="90"/>
      <c r="X96" s="90"/>
      <c r="Y96" s="90"/>
      <c r="Z96" s="90"/>
      <c r="AA96" s="90"/>
      <c r="AB96" s="90"/>
    </row>
    <row r="97" spans="2:49" s="40" customFormat="1" x14ac:dyDescent="0.3">
      <c r="B97" s="39"/>
      <c r="D97" s="41"/>
      <c r="E97" s="12"/>
      <c r="F97" s="222" t="s">
        <v>119</v>
      </c>
      <c r="H97" s="222" t="s">
        <v>11</v>
      </c>
      <c r="I97" s="90"/>
      <c r="J97" s="90"/>
      <c r="K97" s="90"/>
      <c r="L97" s="90"/>
      <c r="M97" s="90"/>
      <c r="N97" s="90"/>
      <c r="O97" s="90"/>
      <c r="P97" s="90"/>
      <c r="R97" s="222" t="s">
        <v>100</v>
      </c>
      <c r="S97" s="90"/>
      <c r="T97" s="90"/>
      <c r="U97" s="90"/>
      <c r="V97" s="90"/>
      <c r="W97" s="90"/>
      <c r="X97" s="90"/>
      <c r="Y97" s="90"/>
      <c r="Z97" s="90"/>
      <c r="AA97" s="90"/>
      <c r="AB97" s="90"/>
      <c r="AD97" s="225" t="s">
        <v>39</v>
      </c>
      <c r="AO97" s="225" t="s">
        <v>39</v>
      </c>
      <c r="AP97" s="40" t="s">
        <v>14</v>
      </c>
    </row>
    <row r="98" spans="2:49" s="40" customFormat="1" x14ac:dyDescent="0.3">
      <c r="B98" s="39"/>
      <c r="D98" s="41"/>
      <c r="E98" s="12"/>
      <c r="F98" s="90" t="s">
        <v>160</v>
      </c>
      <c r="G98" s="222" t="str">
        <f>F51</f>
        <v>All ages, both sexes</v>
      </c>
      <c r="H98" s="90"/>
      <c r="I98" s="90"/>
      <c r="J98" s="90"/>
      <c r="K98" s="90"/>
      <c r="L98" s="90"/>
      <c r="M98" s="90"/>
      <c r="N98" s="90"/>
      <c r="O98" s="90"/>
      <c r="P98" s="90"/>
      <c r="R98" s="221" t="str">
        <f>G98</f>
        <v>All ages, both sexes</v>
      </c>
      <c r="S98" s="90"/>
      <c r="T98" s="90"/>
      <c r="U98" s="90"/>
      <c r="V98" s="90"/>
      <c r="W98" s="90"/>
      <c r="X98" s="90"/>
      <c r="Y98" s="90"/>
      <c r="Z98" s="90"/>
      <c r="AA98" s="90"/>
      <c r="AB98" s="90"/>
    </row>
    <row r="99" spans="2:49" s="40" customFormat="1" x14ac:dyDescent="0.3">
      <c r="B99" s="39"/>
      <c r="D99" s="41"/>
      <c r="E99" s="12"/>
      <c r="F99" s="120" t="s">
        <v>122</v>
      </c>
      <c r="G99" s="121">
        <v>2003</v>
      </c>
      <c r="H99" s="121">
        <v>2005</v>
      </c>
      <c r="I99" s="122" t="s">
        <v>123</v>
      </c>
      <c r="J99" s="122" t="s">
        <v>124</v>
      </c>
      <c r="K99" s="122" t="s">
        <v>125</v>
      </c>
      <c r="L99" s="122" t="s">
        <v>126</v>
      </c>
      <c r="M99" s="122" t="s">
        <v>127</v>
      </c>
      <c r="N99" s="122" t="s">
        <v>128</v>
      </c>
      <c r="O99" s="90"/>
      <c r="P99" s="90"/>
      <c r="Q99" s="12"/>
      <c r="R99" s="120" t="s">
        <v>122</v>
      </c>
      <c r="S99" s="121">
        <v>2003</v>
      </c>
      <c r="T99" s="121">
        <v>2005</v>
      </c>
      <c r="U99" s="122" t="s">
        <v>123</v>
      </c>
      <c r="V99" s="122" t="s">
        <v>124</v>
      </c>
      <c r="W99" s="122" t="s">
        <v>125</v>
      </c>
      <c r="X99" s="122" t="s">
        <v>126</v>
      </c>
      <c r="Y99" s="122" t="s">
        <v>127</v>
      </c>
      <c r="Z99" s="122" t="s">
        <v>128</v>
      </c>
      <c r="AA99" s="90"/>
      <c r="AB99" s="90"/>
      <c r="AC99" s="12"/>
      <c r="AD99" s="120" t="s">
        <v>122</v>
      </c>
      <c r="AE99" s="121">
        <v>2003</v>
      </c>
      <c r="AF99" s="121">
        <v>2005</v>
      </c>
      <c r="AG99" s="122" t="s">
        <v>123</v>
      </c>
      <c r="AH99" s="122" t="s">
        <v>124</v>
      </c>
      <c r="AI99" s="122" t="s">
        <v>125</v>
      </c>
      <c r="AJ99" s="122" t="s">
        <v>126</v>
      </c>
      <c r="AK99" s="122" t="s">
        <v>127</v>
      </c>
      <c r="AL99" s="122" t="s">
        <v>128</v>
      </c>
      <c r="AO99" s="120" t="s">
        <v>122</v>
      </c>
      <c r="AP99" s="121">
        <v>2003</v>
      </c>
      <c r="AQ99" s="121">
        <v>2005</v>
      </c>
      <c r="AR99" s="122" t="s">
        <v>123</v>
      </c>
      <c r="AS99" s="122" t="s">
        <v>124</v>
      </c>
      <c r="AT99" s="122" t="s">
        <v>125</v>
      </c>
      <c r="AU99" s="122" t="s">
        <v>126</v>
      </c>
      <c r="AV99" s="122" t="s">
        <v>127</v>
      </c>
      <c r="AW99" s="122" t="s">
        <v>128</v>
      </c>
    </row>
    <row r="100" spans="2:49" s="40" customFormat="1" x14ac:dyDescent="0.3">
      <c r="B100" s="39"/>
      <c r="D100" s="41"/>
      <c r="E100" s="12" t="s">
        <v>81</v>
      </c>
      <c r="F100" s="2">
        <f t="shared" ref="F100:N100" si="23">INDEX(rangeprovince,1+1+population2value2+0, F$133)</f>
        <v>133735</v>
      </c>
      <c r="G100" s="2">
        <f t="shared" si="23"/>
        <v>110559</v>
      </c>
      <c r="H100" s="2">
        <f t="shared" si="23"/>
        <v>103662</v>
      </c>
      <c r="I100" s="2">
        <f t="shared" si="23"/>
        <v>110150</v>
      </c>
      <c r="J100" s="2">
        <f t="shared" si="23"/>
        <v>102779</v>
      </c>
      <c r="K100" s="2">
        <f t="shared" si="23"/>
        <v>103074</v>
      </c>
      <c r="L100" s="2">
        <f t="shared" si="23"/>
        <v>94052</v>
      </c>
      <c r="M100" s="2">
        <f t="shared" si="23"/>
        <v>99090</v>
      </c>
      <c r="N100" s="2">
        <f t="shared" si="23"/>
        <v>95648</v>
      </c>
      <c r="O100" s="90"/>
      <c r="P100" s="90"/>
      <c r="Q100" s="12" t="s">
        <v>81</v>
      </c>
      <c r="R100" s="2">
        <f t="shared" ref="R100:Z100" si="24">INDEX(rangeprovince,2+1+population2value2+0, F$133)</f>
        <v>127172</v>
      </c>
      <c r="S100" s="2">
        <f t="shared" si="24"/>
        <v>139216</v>
      </c>
      <c r="T100" s="2">
        <f t="shared" si="24"/>
        <v>147518</v>
      </c>
      <c r="U100" s="2">
        <f t="shared" si="24"/>
        <v>138065</v>
      </c>
      <c r="V100" s="2">
        <f t="shared" si="24"/>
        <v>137688</v>
      </c>
      <c r="W100" s="2">
        <f t="shared" si="24"/>
        <v>138489</v>
      </c>
      <c r="X100" s="2">
        <f t="shared" si="24"/>
        <v>144513</v>
      </c>
      <c r="Y100" s="2">
        <f t="shared" si="24"/>
        <v>132523</v>
      </c>
      <c r="Z100" s="2">
        <f t="shared" si="24"/>
        <v>141230</v>
      </c>
      <c r="AA100" s="90"/>
      <c r="AB100" s="90"/>
      <c r="AC100" s="12" t="s">
        <v>81</v>
      </c>
      <c r="AD100" s="224">
        <f>R100/F100</f>
        <v>0.95092533742101915</v>
      </c>
      <c r="AE100" s="224">
        <f t="shared" ref="AE100:AL100" si="25">S100/G100</f>
        <v>1.259200969618032</v>
      </c>
      <c r="AF100" s="224">
        <f t="shared" si="25"/>
        <v>1.423067276340414</v>
      </c>
      <c r="AG100" s="224">
        <f t="shared" si="25"/>
        <v>1.253427144802542</v>
      </c>
      <c r="AH100" s="224">
        <f t="shared" si="25"/>
        <v>1.33965109604102</v>
      </c>
      <c r="AI100" s="224">
        <f t="shared" si="25"/>
        <v>1.3435881017521392</v>
      </c>
      <c r="AJ100" s="224">
        <f t="shared" si="25"/>
        <v>1.5365223493386637</v>
      </c>
      <c r="AK100" s="224">
        <f t="shared" si="25"/>
        <v>1.337400343122414</v>
      </c>
      <c r="AL100" s="224">
        <f t="shared" si="25"/>
        <v>1.4765598862495819</v>
      </c>
      <c r="AN100" s="12" t="s">
        <v>81</v>
      </c>
      <c r="AO100" s="223">
        <f>IFERROR(2*AD116*AD100/100,"F")</f>
        <v>8.8757559593011112E-2</v>
      </c>
      <c r="AP100" s="223">
        <f t="shared" ref="AP100:AW100" si="26">IFERROR(2*AE116*AE100/100,"F")</f>
        <v>0.14096303526175855</v>
      </c>
      <c r="AQ100" s="223">
        <f t="shared" si="26"/>
        <v>0.15127412648829755</v>
      </c>
      <c r="AR100" s="223">
        <f t="shared" si="26"/>
        <v>0.1261672643019805</v>
      </c>
      <c r="AS100" s="223">
        <f t="shared" si="26"/>
        <v>0.14618779540046245</v>
      </c>
      <c r="AT100" s="223">
        <f t="shared" si="26"/>
        <v>0.15155769077400863</v>
      </c>
      <c r="AU100" s="223">
        <f t="shared" si="26"/>
        <v>0.18335547235750838</v>
      </c>
      <c r="AV100" s="223">
        <f t="shared" si="26"/>
        <v>0.16885175884152395</v>
      </c>
      <c r="AW100" s="223">
        <f t="shared" si="26"/>
        <v>0.1826403712067107</v>
      </c>
    </row>
    <row r="101" spans="2:49" s="40" customFormat="1" x14ac:dyDescent="0.3">
      <c r="B101" s="39"/>
      <c r="D101" s="41"/>
      <c r="E101" s="12" t="s">
        <v>53</v>
      </c>
      <c r="F101" s="2">
        <f t="shared" ref="F101:N101" si="27">INDEX(rangeprovince,1+ 42+population2value2+0, F$133)</f>
        <v>32411</v>
      </c>
      <c r="G101" s="2">
        <f t="shared" si="27"/>
        <v>28197</v>
      </c>
      <c r="H101" s="2">
        <f t="shared" si="27"/>
        <v>26031</v>
      </c>
      <c r="I101" s="2">
        <f t="shared" si="27"/>
        <v>25328</v>
      </c>
      <c r="J101" s="2">
        <f t="shared" si="27"/>
        <v>26632</v>
      </c>
      <c r="K101" s="2">
        <f t="shared" si="27"/>
        <v>26791</v>
      </c>
      <c r="L101" s="2">
        <f t="shared" si="27"/>
        <v>24365</v>
      </c>
      <c r="M101" s="2">
        <f t="shared" si="27"/>
        <v>18972</v>
      </c>
      <c r="N101" s="2">
        <f t="shared" si="27"/>
        <v>21914</v>
      </c>
      <c r="O101" s="90"/>
      <c r="P101" s="90"/>
      <c r="Q101" s="12" t="s">
        <v>53</v>
      </c>
      <c r="R101" s="2">
        <f t="shared" ref="R101:Z101" si="28">INDEX(rangeprovince,2+ 42+population2value2+0, F$133)</f>
        <v>29773</v>
      </c>
      <c r="S101" s="2">
        <f t="shared" si="28"/>
        <v>33586</v>
      </c>
      <c r="T101" s="2">
        <f t="shared" si="28"/>
        <v>34360</v>
      </c>
      <c r="U101" s="2">
        <f t="shared" si="28"/>
        <v>32653</v>
      </c>
      <c r="V101" s="2">
        <f t="shared" si="28"/>
        <v>35054</v>
      </c>
      <c r="W101" s="2">
        <f t="shared" si="28"/>
        <v>37862</v>
      </c>
      <c r="X101" s="2">
        <f t="shared" si="28"/>
        <v>40792</v>
      </c>
      <c r="Y101" s="2">
        <f t="shared" si="28"/>
        <v>38750</v>
      </c>
      <c r="Z101" s="2">
        <f t="shared" si="28"/>
        <v>37232</v>
      </c>
      <c r="AA101" s="90"/>
      <c r="AB101" s="90"/>
      <c r="AC101" s="12" t="s">
        <v>53</v>
      </c>
      <c r="AD101" s="224">
        <f t="shared" ref="AD101:AD110" si="29">R101/F101</f>
        <v>0.91860788004072691</v>
      </c>
      <c r="AE101" s="224">
        <f t="shared" ref="AE101:AE110" si="30">S101/G101</f>
        <v>1.1911196226548924</v>
      </c>
      <c r="AF101" s="224">
        <f t="shared" ref="AF101:AF110" si="31">T101/H101</f>
        <v>1.3199646575237216</v>
      </c>
      <c r="AG101" s="224">
        <f t="shared" ref="AG101:AG110" si="32">U101/I101</f>
        <v>1.2892056222362602</v>
      </c>
      <c r="AH101" s="224">
        <f t="shared" ref="AH101:AH110" si="33">V101/J101</f>
        <v>1.3162361069390207</v>
      </c>
      <c r="AI101" s="224">
        <f t="shared" ref="AI101:AI110" si="34">W101/K101</f>
        <v>1.4132357881378075</v>
      </c>
      <c r="AJ101" s="224">
        <f t="shared" ref="AJ101:AJ110" si="35">X101/L101</f>
        <v>1.6742048019700391</v>
      </c>
      <c r="AK101" s="224">
        <f t="shared" ref="AK101:AK110" si="36">Y101/M101</f>
        <v>2.0424836601307188</v>
      </c>
      <c r="AL101" s="224">
        <f t="shared" ref="AL101:AL110" si="37">Z101/N101</f>
        <v>1.6990052021538742</v>
      </c>
      <c r="AN101" s="12" t="s">
        <v>53</v>
      </c>
      <c r="AO101" s="223">
        <f t="shared" ref="AO101:AO110" si="38">IFERROR(2*AD117*AD101/100,"F")</f>
        <v>0.10802141253756088</v>
      </c>
      <c r="AP101" s="223">
        <f t="shared" ref="AP101:AP110" si="39">IFERROR(2*AE117*AE101/100,"F")</f>
        <v>0.1772648537692337</v>
      </c>
      <c r="AQ101" s="223">
        <f t="shared" ref="AQ101:AQ110" si="40">IFERROR(2*AF117*AF101/100,"F")</f>
        <v>0.20016514383573633</v>
      </c>
      <c r="AR101" s="223">
        <f t="shared" ref="AR101:AR110" si="41">IFERROR(2*AG117*AG101/100,"F")</f>
        <v>0.17536987833732709</v>
      </c>
      <c r="AS101" s="223">
        <f t="shared" ref="AS101:AS110" si="42">IFERROR(2*AH117*AH101/100,"F")</f>
        <v>0.19652070677022582</v>
      </c>
      <c r="AT101" s="223">
        <f t="shared" ref="AT101:AT110" si="43">IFERROR(2*AI117*AI101/100,"F")</f>
        <v>0.23749089981459787</v>
      </c>
      <c r="AU101" s="223">
        <f t="shared" ref="AU101:AU110" si="44">IFERROR(2*AJ117*AJ101/100,"F")</f>
        <v>0.25651964703278496</v>
      </c>
      <c r="AV101" s="223">
        <f t="shared" ref="AV101:AV110" si="45">IFERROR(2*AK117*AK101/100,"F")</f>
        <v>0.34558437241927076</v>
      </c>
      <c r="AW101" s="223">
        <f t="shared" ref="AW101:AW110" si="46">IFERROR(2*AL117*AL101/100,"F")</f>
        <v>0.2650665927589968</v>
      </c>
    </row>
    <row r="102" spans="2:49" s="40" customFormat="1" x14ac:dyDescent="0.3">
      <c r="B102" s="39"/>
      <c r="D102" s="41"/>
      <c r="E102" s="12" t="s">
        <v>61</v>
      </c>
      <c r="F102" s="2">
        <f t="shared" ref="F102:N102" si="47">INDEX(rangeprovince, 1+83+population2value2+0, F$133)</f>
        <v>222299</v>
      </c>
      <c r="G102" s="2">
        <f t="shared" si="47"/>
        <v>187610</v>
      </c>
      <c r="H102" s="2">
        <f t="shared" si="47"/>
        <v>180177</v>
      </c>
      <c r="I102" s="2">
        <f t="shared" si="47"/>
        <v>191524</v>
      </c>
      <c r="J102" s="2">
        <f t="shared" si="47"/>
        <v>186683</v>
      </c>
      <c r="K102" s="2">
        <f t="shared" si="47"/>
        <v>183999</v>
      </c>
      <c r="L102" s="2">
        <f t="shared" si="47"/>
        <v>175242</v>
      </c>
      <c r="M102" s="2">
        <f t="shared" si="47"/>
        <v>156044</v>
      </c>
      <c r="N102" s="2">
        <f t="shared" si="47"/>
        <v>146055</v>
      </c>
      <c r="O102" s="90"/>
      <c r="P102" s="90"/>
      <c r="Q102" s="12" t="s">
        <v>61</v>
      </c>
      <c r="R102" s="2">
        <f t="shared" ref="R102:Z102" si="48">INDEX(rangeprovince, 2+83+population2value2+0, F$133)</f>
        <v>215793</v>
      </c>
      <c r="S102" s="2">
        <f t="shared" si="48"/>
        <v>242775</v>
      </c>
      <c r="T102" s="2">
        <f t="shared" si="48"/>
        <v>243533</v>
      </c>
      <c r="U102" s="2">
        <f t="shared" si="48"/>
        <v>235270</v>
      </c>
      <c r="V102" s="2">
        <f t="shared" si="48"/>
        <v>233334</v>
      </c>
      <c r="W102" s="2">
        <f t="shared" si="48"/>
        <v>237541</v>
      </c>
      <c r="X102" s="2">
        <f t="shared" si="48"/>
        <v>241279</v>
      </c>
      <c r="Y102" s="2">
        <f t="shared" si="48"/>
        <v>234182</v>
      </c>
      <c r="Z102" s="2">
        <f t="shared" si="48"/>
        <v>231909</v>
      </c>
      <c r="AA102" s="90"/>
      <c r="AB102" s="90"/>
      <c r="AC102" s="12" t="s">
        <v>61</v>
      </c>
      <c r="AD102" s="224">
        <f t="shared" si="29"/>
        <v>0.97073311170990417</v>
      </c>
      <c r="AE102" s="224">
        <f t="shared" si="30"/>
        <v>1.2940408293800969</v>
      </c>
      <c r="AF102" s="224">
        <f t="shared" si="31"/>
        <v>1.3516320063049112</v>
      </c>
      <c r="AG102" s="224">
        <f t="shared" si="32"/>
        <v>1.2284100164992378</v>
      </c>
      <c r="AH102" s="224">
        <f t="shared" si="33"/>
        <v>1.249894205685574</v>
      </c>
      <c r="AI102" s="224">
        <f t="shared" si="34"/>
        <v>1.2909907119060429</v>
      </c>
      <c r="AJ102" s="224">
        <f t="shared" si="35"/>
        <v>1.3768331792606796</v>
      </c>
      <c r="AK102" s="224">
        <f t="shared" si="36"/>
        <v>1.5007433800722874</v>
      </c>
      <c r="AL102" s="224">
        <f t="shared" si="37"/>
        <v>1.5878196569785354</v>
      </c>
      <c r="AN102" s="12" t="s">
        <v>61</v>
      </c>
      <c r="AO102" s="223">
        <f t="shared" si="38"/>
        <v>7.9623788057437417E-2</v>
      </c>
      <c r="AP102" s="223">
        <f t="shared" si="39"/>
        <v>0.14713420637374602</v>
      </c>
      <c r="AQ102" s="223">
        <f t="shared" si="40"/>
        <v>0.13847468255457546</v>
      </c>
      <c r="AR102" s="223">
        <f t="shared" si="41"/>
        <v>0.12048441825512139</v>
      </c>
      <c r="AS102" s="223">
        <f t="shared" si="42"/>
        <v>0.13828146235477118</v>
      </c>
      <c r="AT102" s="223">
        <f t="shared" si="43"/>
        <v>0.14240745274666738</v>
      </c>
      <c r="AU102" s="223">
        <f t="shared" si="44"/>
        <v>0.14019380317697183</v>
      </c>
      <c r="AV102" s="223">
        <f t="shared" si="45"/>
        <v>0.16832427666801777</v>
      </c>
      <c r="AW102" s="223">
        <f t="shared" si="46"/>
        <v>0.18549648352089398</v>
      </c>
    </row>
    <row r="103" spans="2:49" s="40" customFormat="1" x14ac:dyDescent="0.3">
      <c r="B103" s="39"/>
      <c r="D103" s="41"/>
      <c r="E103" s="12" t="s">
        <v>62</v>
      </c>
      <c r="F103" s="2">
        <f t="shared" ref="F103:N103" si="49">INDEX(rangeprovince, 1+124+population2value2+0, F$133)</f>
        <v>167436</v>
      </c>
      <c r="G103" s="2">
        <f t="shared" si="49"/>
        <v>161495</v>
      </c>
      <c r="H103" s="2">
        <f t="shared" si="49"/>
        <v>143543</v>
      </c>
      <c r="I103" s="2">
        <f t="shared" si="49"/>
        <v>149668</v>
      </c>
      <c r="J103" s="2">
        <f t="shared" si="49"/>
        <v>142276</v>
      </c>
      <c r="K103" s="2">
        <f t="shared" si="49"/>
        <v>145670</v>
      </c>
      <c r="L103" s="2">
        <f t="shared" si="49"/>
        <v>136481</v>
      </c>
      <c r="M103" s="2">
        <f t="shared" si="49"/>
        <v>117217</v>
      </c>
      <c r="N103" s="2">
        <f t="shared" si="49"/>
        <v>92813</v>
      </c>
      <c r="O103" s="90"/>
      <c r="P103" s="90"/>
      <c r="Q103" s="12" t="s">
        <v>62</v>
      </c>
      <c r="R103" s="2">
        <f t="shared" ref="R103:Z103" si="50">INDEX(rangeprovince, 2+124+population2value2+0, F$133)</f>
        <v>173958</v>
      </c>
      <c r="S103" s="2">
        <f t="shared" si="50"/>
        <v>177768</v>
      </c>
      <c r="T103" s="2">
        <f t="shared" si="50"/>
        <v>187077</v>
      </c>
      <c r="U103" s="2">
        <f t="shared" si="50"/>
        <v>180149</v>
      </c>
      <c r="V103" s="2">
        <f t="shared" si="50"/>
        <v>176712</v>
      </c>
      <c r="W103" s="2">
        <f t="shared" si="50"/>
        <v>194437</v>
      </c>
      <c r="X103" s="2">
        <f t="shared" si="50"/>
        <v>181776</v>
      </c>
      <c r="Y103" s="2">
        <f t="shared" si="50"/>
        <v>194015</v>
      </c>
      <c r="Z103" s="2">
        <f t="shared" si="50"/>
        <v>186341</v>
      </c>
      <c r="AA103" s="90"/>
      <c r="AB103" s="90"/>
      <c r="AC103" s="12" t="s">
        <v>62</v>
      </c>
      <c r="AD103" s="224">
        <f t="shared" si="29"/>
        <v>1.0389521966602164</v>
      </c>
      <c r="AE103" s="224">
        <f t="shared" si="30"/>
        <v>1.1007647295581906</v>
      </c>
      <c r="AF103" s="224">
        <f t="shared" si="31"/>
        <v>1.3032819433897855</v>
      </c>
      <c r="AG103" s="224">
        <f t="shared" si="32"/>
        <v>1.2036574284416175</v>
      </c>
      <c r="AH103" s="224">
        <f t="shared" si="33"/>
        <v>1.2420366049087688</v>
      </c>
      <c r="AI103" s="224">
        <f t="shared" si="34"/>
        <v>1.3347772362188508</v>
      </c>
      <c r="AJ103" s="224">
        <f t="shared" si="35"/>
        <v>1.33187769726189</v>
      </c>
      <c r="AK103" s="224">
        <f t="shared" si="36"/>
        <v>1.6551780031906635</v>
      </c>
      <c r="AL103" s="224">
        <f t="shared" si="37"/>
        <v>2.0077036622024931</v>
      </c>
      <c r="AN103" s="12" t="s">
        <v>62</v>
      </c>
      <c r="AO103" s="223">
        <f t="shared" si="38"/>
        <v>9.1096617804800231E-2</v>
      </c>
      <c r="AP103" s="223">
        <f t="shared" si="39"/>
        <v>9.8676666473633712E-2</v>
      </c>
      <c r="AQ103" s="223">
        <f t="shared" si="40"/>
        <v>0.13118554045481556</v>
      </c>
      <c r="AR103" s="223">
        <f t="shared" si="41"/>
        <v>0.11255323316943525</v>
      </c>
      <c r="AS103" s="223">
        <f t="shared" si="42"/>
        <v>0.122955350813807</v>
      </c>
      <c r="AT103" s="223">
        <f t="shared" si="43"/>
        <v>0.14346216533577572</v>
      </c>
      <c r="AU103" s="223">
        <f t="shared" si="44"/>
        <v>0.13751274419828274</v>
      </c>
      <c r="AV103" s="223">
        <f t="shared" si="45"/>
        <v>0.23316282856890855</v>
      </c>
      <c r="AW103" s="223">
        <f t="shared" si="46"/>
        <v>0.28430104704727621</v>
      </c>
    </row>
    <row r="104" spans="2:49" s="40" customFormat="1" x14ac:dyDescent="0.3">
      <c r="B104" s="39"/>
      <c r="D104" s="41"/>
      <c r="E104" s="12" t="s">
        <v>82</v>
      </c>
      <c r="F104" s="2">
        <f t="shared" ref="F104:N104" si="51">INDEX(rangeprovince, 1+165+population2value2+0, F$133)</f>
        <v>1830865</v>
      </c>
      <c r="G104" s="2">
        <f t="shared" si="51"/>
        <v>1639343</v>
      </c>
      <c r="H104" s="2">
        <f t="shared" si="51"/>
        <v>1576386</v>
      </c>
      <c r="I104" s="2">
        <f t="shared" si="51"/>
        <v>1594257</v>
      </c>
      <c r="J104" s="2">
        <f t="shared" si="51"/>
        <v>1532089</v>
      </c>
      <c r="K104" s="2">
        <f t="shared" si="51"/>
        <v>1523724</v>
      </c>
      <c r="L104" s="2">
        <f t="shared" si="51"/>
        <v>1422056</v>
      </c>
      <c r="M104" s="2">
        <f t="shared" si="51"/>
        <v>1295663</v>
      </c>
      <c r="N104" s="2">
        <f t="shared" si="51"/>
        <v>1279607</v>
      </c>
      <c r="O104" s="90"/>
      <c r="P104" s="90"/>
      <c r="Q104" s="12" t="s">
        <v>82</v>
      </c>
      <c r="R104" s="2">
        <f t="shared" ref="R104:Z104" si="52">INDEX(rangeprovince, 2+165+population2value2+0, F$133)</f>
        <v>1641896</v>
      </c>
      <c r="S104" s="2">
        <f t="shared" si="52"/>
        <v>1871116</v>
      </c>
      <c r="T104" s="2">
        <f t="shared" si="52"/>
        <v>1776598</v>
      </c>
      <c r="U104" s="2">
        <f t="shared" si="52"/>
        <v>1863889</v>
      </c>
      <c r="V104" s="2">
        <f t="shared" si="52"/>
        <v>1936077</v>
      </c>
      <c r="W104" s="2">
        <f t="shared" si="52"/>
        <v>1925670</v>
      </c>
      <c r="X104" s="2">
        <f t="shared" si="52"/>
        <v>1940170</v>
      </c>
      <c r="Y104" s="2">
        <f t="shared" si="52"/>
        <v>2016458</v>
      </c>
      <c r="Z104" s="2">
        <f t="shared" si="52"/>
        <v>2036406</v>
      </c>
      <c r="AA104" s="90"/>
      <c r="AB104" s="90"/>
      <c r="AC104" s="12" t="s">
        <v>82</v>
      </c>
      <c r="AD104" s="224">
        <f t="shared" si="29"/>
        <v>0.89678703782092073</v>
      </c>
      <c r="AE104" s="224">
        <f t="shared" si="30"/>
        <v>1.141381638863862</v>
      </c>
      <c r="AF104" s="224">
        <f t="shared" si="31"/>
        <v>1.1270069640303835</v>
      </c>
      <c r="AG104" s="224">
        <f t="shared" si="32"/>
        <v>1.1691270604425761</v>
      </c>
      <c r="AH104" s="224">
        <f t="shared" si="33"/>
        <v>1.2636844204220512</v>
      </c>
      <c r="AI104" s="224">
        <f t="shared" si="34"/>
        <v>1.2637918678185813</v>
      </c>
      <c r="AJ104" s="224">
        <f t="shared" si="35"/>
        <v>1.3643414886614873</v>
      </c>
      <c r="AK104" s="224">
        <f t="shared" si="36"/>
        <v>1.556313640198107</v>
      </c>
      <c r="AL104" s="224">
        <f t="shared" si="37"/>
        <v>1.5914308064898051</v>
      </c>
      <c r="AN104" s="12" t="s">
        <v>82</v>
      </c>
      <c r="AO104" s="223">
        <f t="shared" si="38"/>
        <v>4.3120445309189154E-2</v>
      </c>
      <c r="AP104" s="223">
        <f t="shared" si="39"/>
        <v>5.8109666166896536E-2</v>
      </c>
      <c r="AQ104" s="223">
        <f t="shared" si="40"/>
        <v>5.7377827203145021E-2</v>
      </c>
      <c r="AR104" s="223">
        <f t="shared" si="41"/>
        <v>5.4787045469491973E-2</v>
      </c>
      <c r="AS104" s="223">
        <f t="shared" si="42"/>
        <v>6.0762067961295262E-2</v>
      </c>
      <c r="AT104" s="223">
        <f t="shared" si="43"/>
        <v>7.5065407178406277E-2</v>
      </c>
      <c r="AU104" s="223">
        <f t="shared" si="44"/>
        <v>7.5471642057862456E-2</v>
      </c>
      <c r="AV104" s="223">
        <f t="shared" si="45"/>
        <v>9.6692051825025396E-2</v>
      </c>
      <c r="AW104" s="223">
        <f t="shared" si="46"/>
        <v>8.8263455565905508E-2</v>
      </c>
    </row>
    <row r="105" spans="2:49" s="40" customFormat="1" x14ac:dyDescent="0.3">
      <c r="B105" s="39"/>
      <c r="D105" s="41"/>
      <c r="E105" s="12" t="s">
        <v>83</v>
      </c>
      <c r="F105" s="2">
        <f t="shared" ref="F105:N105" si="53">INDEX(rangeprovince, 1+206+population2value2+0, F$133)</f>
        <v>2418640</v>
      </c>
      <c r="G105" s="2">
        <f t="shared" si="53"/>
        <v>2272785</v>
      </c>
      <c r="H105" s="2">
        <f t="shared" si="53"/>
        <v>2187215</v>
      </c>
      <c r="I105" s="2">
        <f t="shared" si="53"/>
        <v>2209022</v>
      </c>
      <c r="J105" s="2">
        <f t="shared" si="53"/>
        <v>2108523</v>
      </c>
      <c r="K105" s="2">
        <f t="shared" si="53"/>
        <v>2174158</v>
      </c>
      <c r="L105" s="2">
        <f t="shared" si="53"/>
        <v>2048050</v>
      </c>
      <c r="M105" s="2">
        <f t="shared" si="53"/>
        <v>1979675</v>
      </c>
      <c r="N105" s="2">
        <f t="shared" si="53"/>
        <v>1861907</v>
      </c>
      <c r="O105" s="90"/>
      <c r="P105" s="90"/>
      <c r="Q105" s="12" t="s">
        <v>83</v>
      </c>
      <c r="R105" s="2">
        <f t="shared" ref="R105:Z105" si="54">INDEX(rangeprovince, 2+206+population2value2+0, F$133)</f>
        <v>2272612</v>
      </c>
      <c r="S105" s="2">
        <f t="shared" si="54"/>
        <v>2422033</v>
      </c>
      <c r="T105" s="2">
        <f t="shared" si="54"/>
        <v>2534515</v>
      </c>
      <c r="U105" s="2">
        <f t="shared" si="54"/>
        <v>2563603</v>
      </c>
      <c r="V105" s="2">
        <f t="shared" si="54"/>
        <v>2463386</v>
      </c>
      <c r="W105" s="2">
        <f t="shared" si="54"/>
        <v>2556219</v>
      </c>
      <c r="X105" s="2">
        <f t="shared" si="54"/>
        <v>2561238</v>
      </c>
      <c r="Y105" s="2">
        <f t="shared" si="54"/>
        <v>2581462</v>
      </c>
      <c r="Z105" s="2">
        <f t="shared" si="54"/>
        <v>2638858</v>
      </c>
      <c r="AA105" s="90"/>
      <c r="AB105" s="90"/>
      <c r="AC105" s="12" t="s">
        <v>83</v>
      </c>
      <c r="AD105" s="224">
        <f t="shared" si="29"/>
        <v>0.93962392088115632</v>
      </c>
      <c r="AE105" s="224">
        <f t="shared" si="30"/>
        <v>1.065667452046718</v>
      </c>
      <c r="AF105" s="224">
        <f t="shared" si="31"/>
        <v>1.1587864018855027</v>
      </c>
      <c r="AG105" s="224">
        <f t="shared" si="32"/>
        <v>1.1605149247042357</v>
      </c>
      <c r="AH105" s="224">
        <f t="shared" si="33"/>
        <v>1.1682993261159589</v>
      </c>
      <c r="AI105" s="224">
        <f t="shared" si="34"/>
        <v>1.1757282589397826</v>
      </c>
      <c r="AJ105" s="224">
        <f t="shared" si="35"/>
        <v>1.250573960596665</v>
      </c>
      <c r="AK105" s="224">
        <f t="shared" si="36"/>
        <v>1.3039827244370918</v>
      </c>
      <c r="AL105" s="224">
        <f t="shared" si="37"/>
        <v>1.4172877592704685</v>
      </c>
      <c r="AN105" s="12" t="s">
        <v>83</v>
      </c>
      <c r="AO105" s="223">
        <f t="shared" si="38"/>
        <v>3.9864866773209454E-2</v>
      </c>
      <c r="AP105" s="223">
        <f t="shared" si="39"/>
        <v>4.521244090992145E-2</v>
      </c>
      <c r="AQ105" s="223">
        <f t="shared" si="40"/>
        <v>4.9163143363199928E-2</v>
      </c>
      <c r="AR105" s="223">
        <f t="shared" si="41"/>
        <v>5.2518910267299893E-2</v>
      </c>
      <c r="AS105" s="223">
        <f t="shared" si="42"/>
        <v>5.1880909571582527E-2</v>
      </c>
      <c r="AT105" s="223">
        <f t="shared" si="43"/>
        <v>5.8786412946989136E-2</v>
      </c>
      <c r="AU105" s="223">
        <f t="shared" si="44"/>
        <v>5.6594516986446096E-2</v>
      </c>
      <c r="AV105" s="223">
        <f t="shared" si="45"/>
        <v>8.8824102515730308E-2</v>
      </c>
      <c r="AW105" s="223">
        <f t="shared" si="46"/>
        <v>9.6542163377259585E-2</v>
      </c>
    </row>
    <row r="106" spans="2:49" s="40" customFormat="1" x14ac:dyDescent="0.3">
      <c r="B106" s="39"/>
      <c r="D106" s="41"/>
      <c r="E106" s="12" t="s">
        <v>98</v>
      </c>
      <c r="F106" s="2">
        <f>INDEX(rangeprovince, 1+247+population2value2+0,F$133)</f>
        <v>226951</v>
      </c>
      <c r="G106" s="2">
        <f t="shared" ref="G106:N106" si="55">INDEX(rangeprovince, 1+247+population2value2+0,G133)</f>
        <v>207367</v>
      </c>
      <c r="H106" s="2">
        <f t="shared" si="55"/>
        <v>190762</v>
      </c>
      <c r="I106" s="2">
        <f t="shared" si="55"/>
        <v>221046</v>
      </c>
      <c r="J106" s="2">
        <f t="shared" si="55"/>
        <v>190649</v>
      </c>
      <c r="K106" s="2">
        <f t="shared" si="55"/>
        <v>199669</v>
      </c>
      <c r="L106" s="2">
        <f t="shared" si="55"/>
        <v>180553</v>
      </c>
      <c r="M106" s="2">
        <f t="shared" si="55"/>
        <v>193551</v>
      </c>
      <c r="N106" s="2">
        <f t="shared" si="55"/>
        <v>175947</v>
      </c>
      <c r="O106" s="90"/>
      <c r="P106" s="90"/>
      <c r="Q106" s="12" t="s">
        <v>98</v>
      </c>
      <c r="R106" s="2">
        <f t="shared" ref="R106:Z106" si="56">INDEX(rangeprovince, 2+247+population2value2+0,F$133)</f>
        <v>217834</v>
      </c>
      <c r="S106" s="2">
        <f t="shared" si="56"/>
        <v>238453</v>
      </c>
      <c r="T106" s="2">
        <f t="shared" si="56"/>
        <v>250794</v>
      </c>
      <c r="U106" s="2">
        <f t="shared" si="56"/>
        <v>237226</v>
      </c>
      <c r="V106" s="2">
        <f t="shared" si="56"/>
        <v>239284</v>
      </c>
      <c r="W106" s="2">
        <f t="shared" si="56"/>
        <v>240757</v>
      </c>
      <c r="X106" s="2">
        <f t="shared" si="56"/>
        <v>259130</v>
      </c>
      <c r="Y106" s="2">
        <f t="shared" si="56"/>
        <v>249750</v>
      </c>
      <c r="Z106" s="2">
        <f t="shared" si="56"/>
        <v>236002</v>
      </c>
      <c r="AA106" s="90"/>
      <c r="AB106" s="90"/>
      <c r="AC106" s="12" t="s">
        <v>98</v>
      </c>
      <c r="AD106" s="224">
        <f t="shared" si="29"/>
        <v>0.95982833298817805</v>
      </c>
      <c r="AE106" s="224">
        <f t="shared" si="30"/>
        <v>1.1499081338882271</v>
      </c>
      <c r="AF106" s="224">
        <f t="shared" si="31"/>
        <v>1.3146957989536701</v>
      </c>
      <c r="AG106" s="224">
        <f t="shared" si="32"/>
        <v>1.0731974340182586</v>
      </c>
      <c r="AH106" s="224">
        <f t="shared" si="33"/>
        <v>1.2551023084306763</v>
      </c>
      <c r="AI106" s="224">
        <f t="shared" si="34"/>
        <v>1.2057805668381172</v>
      </c>
      <c r="AJ106" s="224">
        <f t="shared" si="35"/>
        <v>1.4352018520877525</v>
      </c>
      <c r="AK106" s="224">
        <f t="shared" si="36"/>
        <v>1.2903575801726677</v>
      </c>
      <c r="AL106" s="224">
        <f t="shared" si="37"/>
        <v>1.3413243760905273</v>
      </c>
      <c r="AN106" s="12" t="s">
        <v>98</v>
      </c>
      <c r="AO106" s="223">
        <f t="shared" si="38"/>
        <v>8.415893925583412E-2</v>
      </c>
      <c r="AP106" s="223">
        <f t="shared" si="39"/>
        <v>0.12359239156051795</v>
      </c>
      <c r="AQ106" s="223">
        <f t="shared" si="40"/>
        <v>0.13571329067776741</v>
      </c>
      <c r="AR106" s="223">
        <f t="shared" si="41"/>
        <v>0.10927658637306907</v>
      </c>
      <c r="AS106" s="223">
        <f t="shared" si="42"/>
        <v>0.16391463162187619</v>
      </c>
      <c r="AT106" s="223">
        <f t="shared" si="43"/>
        <v>0.16402161739034221</v>
      </c>
      <c r="AU106" s="223">
        <f t="shared" si="44"/>
        <v>0.13672887162994868</v>
      </c>
      <c r="AV106" s="223">
        <f t="shared" si="45"/>
        <v>0.16851892152039713</v>
      </c>
      <c r="AW106" s="223">
        <f t="shared" si="46"/>
        <v>0.18273544833984612</v>
      </c>
    </row>
    <row r="107" spans="2:49" s="40" customFormat="1" x14ac:dyDescent="0.3">
      <c r="B107" s="39"/>
      <c r="D107" s="41"/>
      <c r="E107" s="12" t="s">
        <v>85</v>
      </c>
      <c r="F107" s="2">
        <f>INDEX(rangeprovince, 1+288+population2value2+0,F$133)</f>
        <v>222536</v>
      </c>
      <c r="G107" s="2">
        <f t="shared" ref="G107:N107" si="57">INDEX(rangeprovince, 1+288+population2value2+0,G133)</f>
        <v>190632</v>
      </c>
      <c r="H107" s="2">
        <f t="shared" si="57"/>
        <v>187759</v>
      </c>
      <c r="I107" s="2">
        <f t="shared" si="57"/>
        <v>203694</v>
      </c>
      <c r="J107" s="2">
        <f t="shared" si="57"/>
        <v>181812</v>
      </c>
      <c r="K107" s="2">
        <f t="shared" si="57"/>
        <v>183335</v>
      </c>
      <c r="L107" s="2">
        <f t="shared" si="57"/>
        <v>188722</v>
      </c>
      <c r="M107" s="2">
        <f t="shared" si="57"/>
        <v>178230</v>
      </c>
      <c r="N107" s="2">
        <f t="shared" si="57"/>
        <v>183190</v>
      </c>
      <c r="O107" s="90"/>
      <c r="P107" s="90"/>
      <c r="Q107" s="12" t="s">
        <v>85</v>
      </c>
      <c r="R107" s="2">
        <f t="shared" ref="R107:Z107" si="58">INDEX(rangeprovince, 2+288+population2value2+0,F$133)</f>
        <v>200852</v>
      </c>
      <c r="S107" s="2">
        <f t="shared" si="58"/>
        <v>199436</v>
      </c>
      <c r="T107" s="2">
        <f t="shared" si="58"/>
        <v>198242</v>
      </c>
      <c r="U107" s="2">
        <f t="shared" si="58"/>
        <v>196833</v>
      </c>
      <c r="V107" s="2">
        <f t="shared" si="58"/>
        <v>211432</v>
      </c>
      <c r="W107" s="2">
        <f t="shared" si="58"/>
        <v>207850</v>
      </c>
      <c r="X107" s="2">
        <f t="shared" si="58"/>
        <v>211305</v>
      </c>
      <c r="Y107" s="2">
        <f t="shared" si="58"/>
        <v>224493</v>
      </c>
      <c r="Z107" s="2">
        <f t="shared" si="58"/>
        <v>212885</v>
      </c>
      <c r="AA107" s="90"/>
      <c r="AB107" s="90"/>
      <c r="AC107" s="12" t="s">
        <v>85</v>
      </c>
      <c r="AD107" s="224">
        <f t="shared" si="29"/>
        <v>0.90255958586475893</v>
      </c>
      <c r="AE107" s="224">
        <f t="shared" si="30"/>
        <v>1.0461832221243024</v>
      </c>
      <c r="AF107" s="224">
        <f t="shared" si="31"/>
        <v>1.0558322104399789</v>
      </c>
      <c r="AG107" s="224">
        <f t="shared" si="32"/>
        <v>0.96631712274293791</v>
      </c>
      <c r="AH107" s="224">
        <f t="shared" si="33"/>
        <v>1.1629155391283303</v>
      </c>
      <c r="AI107" s="224">
        <f t="shared" si="34"/>
        <v>1.133716966209398</v>
      </c>
      <c r="AJ107" s="224">
        <f t="shared" si="35"/>
        <v>1.119662784413052</v>
      </c>
      <c r="AK107" s="224">
        <f t="shared" si="36"/>
        <v>1.2595690961117656</v>
      </c>
      <c r="AL107" s="224">
        <f t="shared" si="37"/>
        <v>1.1620994595774878</v>
      </c>
      <c r="AN107" s="12" t="s">
        <v>85</v>
      </c>
      <c r="AO107" s="223">
        <f t="shared" si="38"/>
        <v>6.637342437334888E-2</v>
      </c>
      <c r="AP107" s="223">
        <f t="shared" si="39"/>
        <v>0.10356685510187608</v>
      </c>
      <c r="AQ107" s="223">
        <f t="shared" si="40"/>
        <v>9.6722529238067304E-2</v>
      </c>
      <c r="AR107" s="223">
        <f t="shared" si="41"/>
        <v>8.1193642601164906E-2</v>
      </c>
      <c r="AS107" s="223">
        <f t="shared" si="42"/>
        <v>0.11733351000744698</v>
      </c>
      <c r="AT107" s="223">
        <f t="shared" si="43"/>
        <v>0.10772101109674269</v>
      </c>
      <c r="AU107" s="223">
        <f t="shared" si="44"/>
        <v>0.11084096065009527</v>
      </c>
      <c r="AV107" s="223">
        <f t="shared" si="45"/>
        <v>0.15547389489832944</v>
      </c>
      <c r="AW107" s="223">
        <f t="shared" si="46"/>
        <v>0.14849430397729177</v>
      </c>
    </row>
    <row r="108" spans="2:49" s="40" customFormat="1" x14ac:dyDescent="0.3">
      <c r="B108" s="39"/>
      <c r="D108" s="41"/>
      <c r="E108" s="12" t="s">
        <v>86</v>
      </c>
      <c r="F108" s="2">
        <f>INDEX(rangeprovince,1+ 329+population2value2+0,F$133)</f>
        <v>685371</v>
      </c>
      <c r="G108" s="2">
        <f t="shared" ref="G108:N108" si="59">INDEX(rangeprovince,1+ 329+population2value2+0,G133)</f>
        <v>595408</v>
      </c>
      <c r="H108" s="2">
        <f t="shared" si="59"/>
        <v>611054</v>
      </c>
      <c r="I108" s="2">
        <f t="shared" si="59"/>
        <v>645075</v>
      </c>
      <c r="J108" s="2">
        <f t="shared" si="59"/>
        <v>697650</v>
      </c>
      <c r="K108" s="2">
        <f t="shared" si="59"/>
        <v>682549</v>
      </c>
      <c r="L108" s="2">
        <f t="shared" si="59"/>
        <v>658272</v>
      </c>
      <c r="M108" s="2">
        <f t="shared" si="59"/>
        <v>642047</v>
      </c>
      <c r="N108" s="2">
        <f t="shared" si="59"/>
        <v>586696</v>
      </c>
      <c r="O108" s="90"/>
      <c r="P108" s="90"/>
      <c r="Q108" s="12" t="s">
        <v>86</v>
      </c>
      <c r="R108" s="2">
        <f t="shared" ref="R108:Z108" si="60">INDEX(rangeprovince,2+ 329+population2value2+0,F$133)</f>
        <v>558095</v>
      </c>
      <c r="S108" s="2">
        <f t="shared" si="60"/>
        <v>653553</v>
      </c>
      <c r="T108" s="2">
        <f t="shared" si="60"/>
        <v>644886</v>
      </c>
      <c r="U108" s="2">
        <f t="shared" si="60"/>
        <v>691476</v>
      </c>
      <c r="V108" s="2">
        <f t="shared" si="60"/>
        <v>690060</v>
      </c>
      <c r="W108" s="2">
        <f t="shared" si="60"/>
        <v>696012</v>
      </c>
      <c r="X108" s="2">
        <f t="shared" si="60"/>
        <v>765485</v>
      </c>
      <c r="Y108" s="2">
        <f t="shared" si="60"/>
        <v>793553</v>
      </c>
      <c r="Z108" s="2">
        <f t="shared" si="60"/>
        <v>807530</v>
      </c>
      <c r="AA108" s="90"/>
      <c r="AB108" s="90"/>
      <c r="AC108" s="12" t="s">
        <v>86</v>
      </c>
      <c r="AD108" s="224">
        <f t="shared" si="29"/>
        <v>0.81429619870114145</v>
      </c>
      <c r="AE108" s="224">
        <f t="shared" si="30"/>
        <v>1.0976557251498131</v>
      </c>
      <c r="AF108" s="224">
        <f t="shared" si="31"/>
        <v>1.0553666288085832</v>
      </c>
      <c r="AG108" s="224">
        <f t="shared" si="32"/>
        <v>1.0719311707940937</v>
      </c>
      <c r="AH108" s="224">
        <f t="shared" si="33"/>
        <v>0.98912061922167271</v>
      </c>
      <c r="AI108" s="224">
        <f t="shared" si="34"/>
        <v>1.0197245912015107</v>
      </c>
      <c r="AJ108" s="224">
        <f t="shared" si="35"/>
        <v>1.1628703636186866</v>
      </c>
      <c r="AK108" s="224">
        <f t="shared" si="36"/>
        <v>1.2359733788959375</v>
      </c>
      <c r="AL108" s="224">
        <f t="shared" si="37"/>
        <v>1.3764027707705524</v>
      </c>
      <c r="AN108" s="12" t="s">
        <v>86</v>
      </c>
      <c r="AO108" s="223">
        <f t="shared" si="38"/>
        <v>1.8425419647872178E-2</v>
      </c>
      <c r="AP108" s="223">
        <f t="shared" si="39"/>
        <v>2.483711381317345E-2</v>
      </c>
      <c r="AQ108" s="223">
        <f t="shared" si="40"/>
        <v>6.5670607188431096E-2</v>
      </c>
      <c r="AR108" s="223">
        <f t="shared" si="41"/>
        <v>9.0956375980048673E-2</v>
      </c>
      <c r="AS108" s="223">
        <f t="shared" si="42"/>
        <v>7.5536700904412835E-2</v>
      </c>
      <c r="AT108" s="223">
        <f t="shared" si="43"/>
        <v>9.7147166111494362E-2</v>
      </c>
      <c r="AU108" s="223">
        <f t="shared" si="44"/>
        <v>0.10708514487220402</v>
      </c>
      <c r="AV108" s="223">
        <f t="shared" si="45"/>
        <v>3.861304272780499E-2</v>
      </c>
      <c r="AW108" s="223">
        <f t="shared" si="46"/>
        <v>4.5149367836395039E-2</v>
      </c>
    </row>
    <row r="109" spans="2:49" s="40" customFormat="1" x14ac:dyDescent="0.3">
      <c r="B109" s="39"/>
      <c r="D109" s="41"/>
      <c r="E109" s="12" t="s">
        <v>67</v>
      </c>
      <c r="F109" s="2">
        <f>INDEX(rangeprovince, 1+370+population2value2+0,F$133)</f>
        <v>702795</v>
      </c>
      <c r="G109" s="2">
        <f t="shared" ref="G109:N109" si="61">INDEX(rangeprovince, 1+370+population2value2+0,G133)</f>
        <v>660132</v>
      </c>
      <c r="H109" s="2">
        <f t="shared" si="61"/>
        <v>639350</v>
      </c>
      <c r="I109" s="2">
        <f t="shared" si="61"/>
        <v>683836</v>
      </c>
      <c r="J109" s="2">
        <f t="shared" si="61"/>
        <v>645856</v>
      </c>
      <c r="K109" s="2">
        <f t="shared" si="61"/>
        <v>593453</v>
      </c>
      <c r="L109" s="2">
        <f t="shared" si="61"/>
        <v>604491</v>
      </c>
      <c r="M109" s="2">
        <f t="shared" si="61"/>
        <v>568019</v>
      </c>
      <c r="N109" s="2">
        <f t="shared" si="61"/>
        <v>518964</v>
      </c>
      <c r="O109" s="90"/>
      <c r="P109" s="90"/>
      <c r="Q109" s="12" t="s">
        <v>67</v>
      </c>
      <c r="R109" s="2">
        <f t="shared" ref="R109:Z109" si="62">INDEX(rangeprovince, 2+370+population2value2+0,F$133)</f>
        <v>907169</v>
      </c>
      <c r="S109" s="2">
        <f t="shared" si="62"/>
        <v>937109</v>
      </c>
      <c r="T109" s="2">
        <f t="shared" si="62"/>
        <v>948672</v>
      </c>
      <c r="U109" s="2">
        <f t="shared" si="62"/>
        <v>974736</v>
      </c>
      <c r="V109" s="2">
        <f t="shared" si="62"/>
        <v>1006261</v>
      </c>
      <c r="W109" s="2">
        <f t="shared" si="62"/>
        <v>1018173</v>
      </c>
      <c r="X109" s="2">
        <f t="shared" si="62"/>
        <v>1049004</v>
      </c>
      <c r="Y109" s="2">
        <f t="shared" si="62"/>
        <v>1044928</v>
      </c>
      <c r="Z109" s="2">
        <f t="shared" si="62"/>
        <v>1025334</v>
      </c>
      <c r="AA109" s="90"/>
      <c r="AB109" s="90"/>
      <c r="AC109" s="12" t="s">
        <v>67</v>
      </c>
      <c r="AD109" s="224">
        <f t="shared" si="29"/>
        <v>1.2908017273884989</v>
      </c>
      <c r="AE109" s="224">
        <f t="shared" si="30"/>
        <v>1.4195782055710071</v>
      </c>
      <c r="AF109" s="224">
        <f t="shared" si="31"/>
        <v>1.4838069914757175</v>
      </c>
      <c r="AG109" s="224">
        <f t="shared" si="32"/>
        <v>1.4253943928076322</v>
      </c>
      <c r="AH109" s="224">
        <f t="shared" si="33"/>
        <v>1.5580268666699697</v>
      </c>
      <c r="AI109" s="224">
        <f t="shared" si="34"/>
        <v>1.7156758833471226</v>
      </c>
      <c r="AJ109" s="224">
        <f t="shared" si="35"/>
        <v>1.7353508985245438</v>
      </c>
      <c r="AK109" s="224">
        <f t="shared" si="36"/>
        <v>1.8396004359009117</v>
      </c>
      <c r="AL109" s="224">
        <f t="shared" si="37"/>
        <v>1.9757324207459477</v>
      </c>
      <c r="AN109" s="12" t="s">
        <v>67</v>
      </c>
      <c r="AO109" s="223">
        <f t="shared" si="38"/>
        <v>7.7448103643309937E-2</v>
      </c>
      <c r="AP109" s="223">
        <f t="shared" si="39"/>
        <v>9.7114091039903663E-2</v>
      </c>
      <c r="AQ109" s="223">
        <f t="shared" si="40"/>
        <v>9.9182258916454005E-2</v>
      </c>
      <c r="AR109" s="223">
        <f t="shared" si="41"/>
        <v>0.105517702208018</v>
      </c>
      <c r="AS109" s="223">
        <f t="shared" si="42"/>
        <v>0.12188510995878256</v>
      </c>
      <c r="AT109" s="223">
        <f t="shared" si="43"/>
        <v>0.15133000453154583</v>
      </c>
      <c r="AU109" s="223">
        <f t="shared" si="44"/>
        <v>0.12324657068516814</v>
      </c>
      <c r="AV109" s="223">
        <f t="shared" si="45"/>
        <v>0.14315826853301869</v>
      </c>
      <c r="AW109" s="223">
        <f t="shared" si="46"/>
        <v>0.15375210122736374</v>
      </c>
    </row>
    <row r="110" spans="2:49" s="40" customFormat="1" x14ac:dyDescent="0.3">
      <c r="B110" s="39"/>
      <c r="D110" s="41"/>
      <c r="E110" s="12" t="s">
        <v>158</v>
      </c>
      <c r="F110" s="2">
        <f>INDEX(rangeprovince, 1+411+population2value2+0,F$133)</f>
        <v>6677456</v>
      </c>
      <c r="G110" s="2">
        <f t="shared" ref="G110:N110" si="63">INDEX(rangeprovince, 1+411+population2value2+0,G133)</f>
        <v>6081368</v>
      </c>
      <c r="H110" s="2">
        <f t="shared" si="63"/>
        <v>5874587</v>
      </c>
      <c r="I110" s="2">
        <f t="shared" si="63"/>
        <v>6063013</v>
      </c>
      <c r="J110" s="2">
        <f t="shared" si="63"/>
        <v>5846845</v>
      </c>
      <c r="K110" s="2">
        <f t="shared" si="63"/>
        <v>5847486</v>
      </c>
      <c r="L110" s="2">
        <f t="shared" si="63"/>
        <v>5567988</v>
      </c>
      <c r="M110" s="2">
        <f t="shared" si="63"/>
        <v>5285202</v>
      </c>
      <c r="N110" s="2">
        <f t="shared" si="63"/>
        <v>4999656</v>
      </c>
      <c r="O110" s="90"/>
      <c r="P110" s="90"/>
      <c r="Q110" s="12" t="s">
        <v>158</v>
      </c>
      <c r="R110" s="2">
        <f t="shared" ref="R110:Z110" si="64">INDEX(rangeprovince, 2+411+population2value2+0,F$133)</f>
        <v>6360730</v>
      </c>
      <c r="S110" s="2">
        <f t="shared" si="64"/>
        <v>6932027</v>
      </c>
      <c r="T110" s="2">
        <f t="shared" si="64"/>
        <v>6984038</v>
      </c>
      <c r="U110" s="2">
        <f t="shared" si="64"/>
        <v>7129705</v>
      </c>
      <c r="V110" s="2">
        <f t="shared" si="64"/>
        <v>7144842</v>
      </c>
      <c r="W110" s="2">
        <f t="shared" si="64"/>
        <v>7270951</v>
      </c>
      <c r="X110" s="2">
        <f t="shared" si="64"/>
        <v>7414613</v>
      </c>
      <c r="Y110" s="2">
        <f t="shared" si="64"/>
        <v>7531034</v>
      </c>
      <c r="Z110" s="2">
        <f t="shared" si="64"/>
        <v>7574058</v>
      </c>
      <c r="AA110" s="90"/>
      <c r="AB110" s="90"/>
      <c r="AC110" s="12" t="s">
        <v>158</v>
      </c>
      <c r="AD110" s="224">
        <f t="shared" si="29"/>
        <v>0.95256786416862949</v>
      </c>
      <c r="AE110" s="224">
        <f t="shared" si="30"/>
        <v>1.1398795468388034</v>
      </c>
      <c r="AF110" s="224">
        <f t="shared" si="31"/>
        <v>1.1888559995792045</v>
      </c>
      <c r="AG110" s="224">
        <f t="shared" si="32"/>
        <v>1.1759343085690233</v>
      </c>
      <c r="AH110" s="224">
        <f t="shared" si="33"/>
        <v>1.2219995570260542</v>
      </c>
      <c r="AI110" s="224">
        <f t="shared" si="34"/>
        <v>1.243431963753312</v>
      </c>
      <c r="AJ110" s="224">
        <f t="shared" si="35"/>
        <v>1.3316503196486773</v>
      </c>
      <c r="AK110" s="224">
        <f t="shared" si="36"/>
        <v>1.4249283187284043</v>
      </c>
      <c r="AL110" s="224">
        <f t="shared" si="37"/>
        <v>1.5149158262088431</v>
      </c>
      <c r="AN110" s="12" t="s">
        <v>158</v>
      </c>
      <c r="AO110" s="223">
        <f t="shared" si="38"/>
        <v>2.1554150281408772E-2</v>
      </c>
      <c r="AP110" s="223">
        <f t="shared" si="39"/>
        <v>2.5792529833778142E-2</v>
      </c>
      <c r="AQ110" s="223">
        <f t="shared" si="40"/>
        <v>2.8631443918995289E-2</v>
      </c>
      <c r="AR110" s="223">
        <f t="shared" si="41"/>
        <v>2.8320248390161232E-2</v>
      </c>
      <c r="AS110" s="223">
        <f t="shared" si="42"/>
        <v>3.3241981873155309E-2</v>
      </c>
      <c r="AT110" s="223">
        <f t="shared" si="43"/>
        <v>3.7302958912599361E-2</v>
      </c>
      <c r="AU110" s="223">
        <f t="shared" si="44"/>
        <v>3.9949509589460322E-2</v>
      </c>
      <c r="AV110" s="223">
        <f t="shared" si="45"/>
        <v>4.4516183758154936E-2</v>
      </c>
      <c r="AW110" s="223">
        <f t="shared" si="46"/>
        <v>4.9692933878931644E-2</v>
      </c>
    </row>
    <row r="111" spans="2:49" s="40" customFormat="1" x14ac:dyDescent="0.3">
      <c r="B111" s="39"/>
      <c r="D111" s="41"/>
      <c r="E111" s="12"/>
      <c r="F111" s="90"/>
      <c r="G111" s="90"/>
      <c r="H111" s="90"/>
      <c r="I111" s="90"/>
      <c r="J111" s="90"/>
      <c r="K111" s="90"/>
      <c r="L111" s="90"/>
      <c r="M111" s="90"/>
      <c r="N111" s="90"/>
      <c r="O111" s="90"/>
      <c r="P111" s="90"/>
      <c r="R111" s="90"/>
      <c r="S111" s="90"/>
      <c r="T111" s="90"/>
      <c r="U111" s="90"/>
      <c r="V111" s="90"/>
      <c r="W111" s="90"/>
      <c r="X111" s="90"/>
      <c r="Y111" s="90"/>
      <c r="Z111" s="90"/>
      <c r="AA111" s="90"/>
      <c r="AB111" s="90"/>
    </row>
    <row r="112" spans="2:49" s="40" customFormat="1" x14ac:dyDescent="0.3">
      <c r="B112" s="39"/>
      <c r="D112" s="41"/>
      <c r="E112" s="12"/>
      <c r="F112" s="90"/>
      <c r="G112" s="90"/>
      <c r="H112" s="90"/>
      <c r="I112" s="90"/>
      <c r="J112" s="90"/>
      <c r="K112" s="90"/>
      <c r="L112" s="90"/>
      <c r="M112" s="90"/>
      <c r="N112" s="90"/>
      <c r="O112" s="90"/>
      <c r="P112" s="90"/>
      <c r="R112" s="90"/>
      <c r="S112" s="90"/>
      <c r="T112" s="90"/>
      <c r="U112" s="90"/>
      <c r="V112" s="90"/>
      <c r="W112" s="90"/>
      <c r="X112" s="90"/>
      <c r="Y112" s="90"/>
      <c r="Z112" s="90"/>
      <c r="AA112" s="90"/>
      <c r="AB112" s="90"/>
    </row>
    <row r="113" spans="2:38" s="40" customFormat="1" x14ac:dyDescent="0.3">
      <c r="B113" s="39"/>
      <c r="D113" s="41"/>
      <c r="E113" s="12"/>
      <c r="F113" s="222" t="s">
        <v>119</v>
      </c>
      <c r="H113" s="222" t="s">
        <v>161</v>
      </c>
      <c r="I113" s="90"/>
      <c r="J113" s="90"/>
      <c r="K113" s="90"/>
      <c r="L113" s="90"/>
      <c r="M113" s="90"/>
      <c r="N113" s="90"/>
      <c r="O113" s="90"/>
      <c r="P113" s="90"/>
      <c r="R113" s="222" t="s">
        <v>100</v>
      </c>
      <c r="S113" s="90"/>
      <c r="T113" s="90" t="s">
        <v>161</v>
      </c>
      <c r="U113" s="90"/>
      <c r="V113" s="90"/>
      <c r="W113" s="90"/>
      <c r="X113" s="90"/>
      <c r="Y113" s="90"/>
      <c r="Z113" s="90"/>
      <c r="AA113" s="90"/>
      <c r="AB113" s="90"/>
    </row>
    <row r="114" spans="2:38" s="40" customFormat="1" x14ac:dyDescent="0.3">
      <c r="B114" s="39"/>
      <c r="D114" s="41"/>
      <c r="E114" s="12"/>
      <c r="F114" s="90" t="s">
        <v>160</v>
      </c>
      <c r="G114" s="222" t="str">
        <f>G98</f>
        <v>All ages, both sexes</v>
      </c>
      <c r="H114" s="90"/>
      <c r="I114" s="90"/>
      <c r="J114" s="90"/>
      <c r="K114" s="90"/>
      <c r="L114" s="90"/>
      <c r="M114" s="90"/>
      <c r="N114" s="90"/>
      <c r="O114" s="90"/>
      <c r="P114" s="90"/>
      <c r="R114" s="221" t="str">
        <f>G114</f>
        <v>All ages, both sexes</v>
      </c>
      <c r="S114" s="90"/>
      <c r="T114" s="90"/>
      <c r="U114" s="90"/>
      <c r="V114" s="90"/>
      <c r="W114" s="90"/>
      <c r="X114" s="90"/>
      <c r="Y114" s="90"/>
      <c r="Z114" s="90"/>
      <c r="AA114" s="90"/>
      <c r="AB114" s="90"/>
      <c r="AD114" s="225" t="s">
        <v>39</v>
      </c>
      <c r="AE114" s="90" t="s">
        <v>161</v>
      </c>
    </row>
    <row r="115" spans="2:38" s="40" customFormat="1" x14ac:dyDescent="0.3">
      <c r="B115" s="39"/>
      <c r="D115" s="41"/>
      <c r="E115" s="12"/>
      <c r="F115" s="120" t="s">
        <v>122</v>
      </c>
      <c r="G115" s="121">
        <v>2003</v>
      </c>
      <c r="H115" s="121">
        <v>2005</v>
      </c>
      <c r="I115" s="122" t="s">
        <v>123</v>
      </c>
      <c r="J115" s="122" t="s">
        <v>124</v>
      </c>
      <c r="K115" s="122" t="s">
        <v>125</v>
      </c>
      <c r="L115" s="122" t="s">
        <v>126</v>
      </c>
      <c r="M115" s="122" t="s">
        <v>127</v>
      </c>
      <c r="N115" s="122" t="s">
        <v>128</v>
      </c>
      <c r="O115" s="90"/>
      <c r="P115" s="90"/>
      <c r="R115" s="120" t="s">
        <v>122</v>
      </c>
      <c r="S115" s="121">
        <v>2003</v>
      </c>
      <c r="T115" s="121">
        <v>2005</v>
      </c>
      <c r="U115" s="122" t="s">
        <v>123</v>
      </c>
      <c r="V115" s="122" t="s">
        <v>124</v>
      </c>
      <c r="W115" s="122" t="s">
        <v>125</v>
      </c>
      <c r="X115" s="122" t="s">
        <v>126</v>
      </c>
      <c r="Y115" s="122" t="s">
        <v>127</v>
      </c>
      <c r="Z115" s="122" t="s">
        <v>128</v>
      </c>
      <c r="AA115" s="90"/>
      <c r="AB115" s="90"/>
      <c r="AD115" s="120" t="s">
        <v>122</v>
      </c>
      <c r="AE115" s="121">
        <v>2003</v>
      </c>
      <c r="AF115" s="121">
        <v>2005</v>
      </c>
      <c r="AG115" s="122" t="s">
        <v>123</v>
      </c>
      <c r="AH115" s="122" t="s">
        <v>124</v>
      </c>
      <c r="AI115" s="122" t="s">
        <v>125</v>
      </c>
      <c r="AJ115" s="122" t="s">
        <v>126</v>
      </c>
      <c r="AK115" s="122" t="s">
        <v>127</v>
      </c>
      <c r="AL115" s="122" t="s">
        <v>128</v>
      </c>
    </row>
    <row r="116" spans="2:38" s="40" customFormat="1" x14ac:dyDescent="0.3">
      <c r="B116" s="39"/>
      <c r="D116" s="41"/>
      <c r="E116" s="12" t="s">
        <v>81</v>
      </c>
      <c r="F116" s="90">
        <f t="shared" ref="F116:N116" si="65">INDEX(rangeprovince,1+1+population2value2+0, Q$133)</f>
        <v>3.3</v>
      </c>
      <c r="G116" s="90">
        <f t="shared" si="65"/>
        <v>4.2</v>
      </c>
      <c r="H116" s="90">
        <f t="shared" si="65"/>
        <v>4</v>
      </c>
      <c r="I116" s="90">
        <f t="shared" si="65"/>
        <v>3.8</v>
      </c>
      <c r="J116" s="90">
        <f t="shared" si="65"/>
        <v>4.0999999999999996</v>
      </c>
      <c r="K116" s="90">
        <f t="shared" si="65"/>
        <v>4.5</v>
      </c>
      <c r="L116" s="90">
        <f t="shared" si="65"/>
        <v>4.5999999999999996</v>
      </c>
      <c r="M116" s="90">
        <f t="shared" si="65"/>
        <v>4.8</v>
      </c>
      <c r="N116" s="90">
        <f t="shared" si="65"/>
        <v>4.8</v>
      </c>
      <c r="O116" s="90"/>
      <c r="P116" s="90"/>
      <c r="Q116" s="12" t="s">
        <v>81</v>
      </c>
      <c r="R116" s="90">
        <f t="shared" ref="R116:Z116" si="66">INDEX(rangeprovince,2+1+population2value2+0, Q$133)</f>
        <v>3.3</v>
      </c>
      <c r="S116" s="90">
        <f t="shared" si="66"/>
        <v>3.7</v>
      </c>
      <c r="T116" s="90">
        <f t="shared" si="66"/>
        <v>3.5</v>
      </c>
      <c r="U116" s="90">
        <f t="shared" si="66"/>
        <v>3.3</v>
      </c>
      <c r="V116" s="90">
        <f t="shared" si="66"/>
        <v>3.6</v>
      </c>
      <c r="W116" s="90">
        <f t="shared" si="66"/>
        <v>3.4</v>
      </c>
      <c r="X116" s="90">
        <f t="shared" si="66"/>
        <v>3.8</v>
      </c>
      <c r="Y116" s="90">
        <f t="shared" si="66"/>
        <v>4.0999999999999996</v>
      </c>
      <c r="Z116" s="90">
        <f t="shared" si="66"/>
        <v>3.9</v>
      </c>
      <c r="AA116" s="90"/>
      <c r="AB116" s="90"/>
      <c r="AC116" s="12" t="s">
        <v>81</v>
      </c>
      <c r="AD116" s="224">
        <f>IFERROR(SQRT((POWER(F116,2)+POWER(R116,2))),"F")</f>
        <v>4.6669047558312133</v>
      </c>
      <c r="AE116" s="224">
        <f t="shared" ref="AE116:AL116" si="67">IFERROR(SQRT((POWER(G116,2)+POWER(S116,2))),"F")</f>
        <v>5.5973207876626123</v>
      </c>
      <c r="AF116" s="224">
        <f t="shared" si="67"/>
        <v>5.315072906367325</v>
      </c>
      <c r="AG116" s="224">
        <f t="shared" si="67"/>
        <v>5.0328918128646478</v>
      </c>
      <c r="AH116" s="224">
        <f t="shared" si="67"/>
        <v>5.4561891462814955</v>
      </c>
      <c r="AI116" s="224">
        <f t="shared" si="67"/>
        <v>5.6400354608814292</v>
      </c>
      <c r="AJ116" s="224">
        <f t="shared" si="67"/>
        <v>5.9665735560705189</v>
      </c>
      <c r="AK116" s="224">
        <f t="shared" si="67"/>
        <v>6.3126856408346512</v>
      </c>
      <c r="AL116" s="224">
        <f t="shared" si="67"/>
        <v>6.1846584384264904</v>
      </c>
    </row>
    <row r="117" spans="2:38" s="40" customFormat="1" x14ac:dyDescent="0.3">
      <c r="B117" s="39"/>
      <c r="D117" s="41"/>
      <c r="E117" s="12" t="s">
        <v>53</v>
      </c>
      <c r="F117" s="90">
        <f t="shared" ref="F117:N117" si="68">INDEX(rangeprovince,1+ 42+population2value2+0, Q$133)</f>
        <v>3.9</v>
      </c>
      <c r="G117" s="90">
        <f t="shared" si="68"/>
        <v>5.6</v>
      </c>
      <c r="H117" s="90">
        <f t="shared" si="68"/>
        <v>5.7</v>
      </c>
      <c r="I117" s="90">
        <f t="shared" si="68"/>
        <v>5.0999999999999996</v>
      </c>
      <c r="J117" s="90">
        <f t="shared" si="68"/>
        <v>5.8</v>
      </c>
      <c r="K117" s="90">
        <f t="shared" si="68"/>
        <v>6.6</v>
      </c>
      <c r="L117" s="90">
        <f t="shared" si="68"/>
        <v>6.2</v>
      </c>
      <c r="M117" s="90">
        <f t="shared" si="68"/>
        <v>7.1</v>
      </c>
      <c r="N117" s="90">
        <f t="shared" si="68"/>
        <v>6.3</v>
      </c>
      <c r="O117" s="90"/>
      <c r="P117" s="90"/>
      <c r="Q117" s="12" t="s">
        <v>53</v>
      </c>
      <c r="R117" s="90">
        <f t="shared" ref="R117:Z117" si="69">INDEX(rangeprovince,2+ 42+population2value2+0, Q$133)</f>
        <v>4.4000000000000004</v>
      </c>
      <c r="S117" s="90">
        <f t="shared" si="69"/>
        <v>4.9000000000000004</v>
      </c>
      <c r="T117" s="90">
        <f t="shared" si="69"/>
        <v>5</v>
      </c>
      <c r="U117" s="90">
        <f t="shared" si="69"/>
        <v>4.5</v>
      </c>
      <c r="V117" s="90">
        <f t="shared" si="69"/>
        <v>4.7</v>
      </c>
      <c r="W117" s="90">
        <f t="shared" si="69"/>
        <v>5.2</v>
      </c>
      <c r="X117" s="90">
        <f t="shared" si="69"/>
        <v>4.5</v>
      </c>
      <c r="Y117" s="90">
        <f t="shared" si="69"/>
        <v>4.5999999999999996</v>
      </c>
      <c r="Z117" s="90">
        <f t="shared" si="69"/>
        <v>4.5999999999999996</v>
      </c>
      <c r="AA117" s="90"/>
      <c r="AB117" s="90"/>
      <c r="AC117" s="12" t="s">
        <v>53</v>
      </c>
      <c r="AD117" s="224">
        <f t="shared" ref="AD117:AD126" si="70">IFERROR(SQRT((POWER(F117,2)+POWER(R117,2))),"F")</f>
        <v>5.8796258384356399</v>
      </c>
      <c r="AE117" s="224">
        <f t="shared" ref="AE117:AE126" si="71">IFERROR(SQRT((POWER(G117,2)+POWER(S117,2))),"F")</f>
        <v>7.4411020689142546</v>
      </c>
      <c r="AF117" s="224">
        <f t="shared" ref="AF117:AF126" si="72">IFERROR(SQRT((POWER(H117,2)+POWER(T117,2))),"F")</f>
        <v>7.5822160349069456</v>
      </c>
      <c r="AG117" s="224">
        <f t="shared" ref="AG117:AG126" si="73">IFERROR(SQRT((POWER(I117,2)+POWER(U117,2))),"F")</f>
        <v>6.8014704292527801</v>
      </c>
      <c r="AH117" s="224">
        <f t="shared" ref="AH117:AH126" si="74">IFERROR(SQRT((POWER(J117,2)+POWER(V117,2))),"F")</f>
        <v>7.4652528423356168</v>
      </c>
      <c r="AI117" s="224">
        <f t="shared" ref="AI117:AI126" si="75">IFERROR(SQRT((POWER(K117,2)+POWER(W117,2))),"F")</f>
        <v>8.402380615040002</v>
      </c>
      <c r="AJ117" s="224">
        <f t="shared" ref="AJ117:AJ126" si="76">IFERROR(SQRT((POWER(L117,2)+POWER(X117,2))),"F")</f>
        <v>7.6609398901179224</v>
      </c>
      <c r="AK117" s="224">
        <f t="shared" ref="AK117:AK126" si="77">IFERROR(SQRT((POWER(M117,2)+POWER(Y117,2))),"F")</f>
        <v>8.4599054368237478</v>
      </c>
      <c r="AL117" s="224">
        <f t="shared" ref="AL117:AL126" si="78">IFERROR(SQRT((POWER(N117,2)+POWER(Z117,2))),"F")</f>
        <v>7.8006409993025567</v>
      </c>
    </row>
    <row r="118" spans="2:38" s="40" customFormat="1" x14ac:dyDescent="0.3">
      <c r="B118" s="39"/>
      <c r="D118" s="41"/>
      <c r="E118" s="12" t="s">
        <v>61</v>
      </c>
      <c r="F118" s="90">
        <f t="shared" ref="F118:N118" si="79">INDEX(rangeprovince, 1+83+population2value2+0, Q$133)</f>
        <v>2.9</v>
      </c>
      <c r="G118" s="90">
        <f t="shared" si="79"/>
        <v>4.4000000000000004</v>
      </c>
      <c r="H118" s="90">
        <f t="shared" si="79"/>
        <v>4</v>
      </c>
      <c r="I118" s="90">
        <f t="shared" si="79"/>
        <v>3.8</v>
      </c>
      <c r="J118" s="90">
        <f t="shared" si="79"/>
        <v>4.2</v>
      </c>
      <c r="K118" s="90">
        <f t="shared" si="79"/>
        <v>3.9</v>
      </c>
      <c r="L118" s="90">
        <f t="shared" si="79"/>
        <v>3.6</v>
      </c>
      <c r="M118" s="90">
        <f t="shared" si="79"/>
        <v>4.3</v>
      </c>
      <c r="N118" s="90">
        <f t="shared" si="79"/>
        <v>4.5999999999999996</v>
      </c>
      <c r="O118" s="90"/>
      <c r="P118" s="90"/>
      <c r="Q118" s="12" t="s">
        <v>61</v>
      </c>
      <c r="R118" s="90">
        <f t="shared" ref="R118:Z118" si="80">INDEX(rangeprovince, 2+83+population2value2+0, Q$133)</f>
        <v>2.9</v>
      </c>
      <c r="S118" s="90">
        <f t="shared" si="80"/>
        <v>3.6</v>
      </c>
      <c r="T118" s="90">
        <f t="shared" si="80"/>
        <v>3.2</v>
      </c>
      <c r="U118" s="90">
        <f t="shared" si="80"/>
        <v>3.1</v>
      </c>
      <c r="V118" s="90">
        <f t="shared" si="80"/>
        <v>3.6</v>
      </c>
      <c r="W118" s="90">
        <f t="shared" si="80"/>
        <v>3.9</v>
      </c>
      <c r="X118" s="90">
        <f t="shared" si="80"/>
        <v>3.6</v>
      </c>
      <c r="Y118" s="90">
        <f t="shared" si="80"/>
        <v>3.6</v>
      </c>
      <c r="Z118" s="90">
        <f t="shared" si="80"/>
        <v>3.6</v>
      </c>
      <c r="AA118" s="90"/>
      <c r="AB118" s="90"/>
      <c r="AC118" s="12" t="s">
        <v>61</v>
      </c>
      <c r="AD118" s="224">
        <f t="shared" si="70"/>
        <v>4.1012193308819755</v>
      </c>
      <c r="AE118" s="224">
        <f t="shared" si="71"/>
        <v>5.6850681614207588</v>
      </c>
      <c r="AF118" s="224">
        <f t="shared" si="72"/>
        <v>5.1224993899462792</v>
      </c>
      <c r="AG118" s="224">
        <f t="shared" si="73"/>
        <v>4.9040799340956918</v>
      </c>
      <c r="AH118" s="224">
        <f t="shared" si="74"/>
        <v>5.531726674375733</v>
      </c>
      <c r="AI118" s="224">
        <f t="shared" si="75"/>
        <v>5.5154328932550705</v>
      </c>
      <c r="AJ118" s="224">
        <f t="shared" si="76"/>
        <v>5.0911688245431419</v>
      </c>
      <c r="AK118" s="224">
        <f t="shared" si="77"/>
        <v>5.6080299571239811</v>
      </c>
      <c r="AL118" s="224">
        <f t="shared" si="78"/>
        <v>5.841232746604093</v>
      </c>
    </row>
    <row r="119" spans="2:38" s="40" customFormat="1" x14ac:dyDescent="0.3">
      <c r="B119" s="39"/>
      <c r="D119" s="41"/>
      <c r="E119" s="12" t="s">
        <v>62</v>
      </c>
      <c r="F119" s="90">
        <f t="shared" ref="F119:N119" si="81">INDEX(rangeprovince, 1+124+population2value2+0, Q$133)</f>
        <v>3.1</v>
      </c>
      <c r="G119" s="90">
        <f t="shared" si="81"/>
        <v>2.8</v>
      </c>
      <c r="H119" s="90">
        <f t="shared" si="81"/>
        <v>3.8</v>
      </c>
      <c r="I119" s="90">
        <f t="shared" si="81"/>
        <v>3.5</v>
      </c>
      <c r="J119" s="90">
        <f t="shared" si="81"/>
        <v>3.5</v>
      </c>
      <c r="K119" s="90">
        <f t="shared" si="81"/>
        <v>3.8</v>
      </c>
      <c r="L119" s="90">
        <f t="shared" si="81"/>
        <v>3.6</v>
      </c>
      <c r="M119" s="90">
        <f t="shared" si="81"/>
        <v>5.5</v>
      </c>
      <c r="N119" s="90">
        <f t="shared" si="81"/>
        <v>5.7</v>
      </c>
      <c r="O119" s="90"/>
      <c r="P119" s="90"/>
      <c r="Q119" s="12" t="s">
        <v>62</v>
      </c>
      <c r="R119" s="90">
        <f t="shared" ref="R119:Z119" si="82">INDEX(rangeprovince, 2+124+population2value2+0, Q$133)</f>
        <v>3.1</v>
      </c>
      <c r="S119" s="90">
        <f t="shared" si="82"/>
        <v>3.5</v>
      </c>
      <c r="T119" s="90">
        <f t="shared" si="82"/>
        <v>3.3</v>
      </c>
      <c r="U119" s="90">
        <f t="shared" si="82"/>
        <v>3.1</v>
      </c>
      <c r="V119" s="90">
        <f t="shared" si="82"/>
        <v>3.5</v>
      </c>
      <c r="W119" s="90">
        <f t="shared" si="82"/>
        <v>3.8</v>
      </c>
      <c r="X119" s="90">
        <f t="shared" si="82"/>
        <v>3.7</v>
      </c>
      <c r="Y119" s="90">
        <f t="shared" si="82"/>
        <v>4.4000000000000004</v>
      </c>
      <c r="Z119" s="90">
        <f t="shared" si="82"/>
        <v>4.2</v>
      </c>
      <c r="AA119" s="90"/>
      <c r="AB119" s="90"/>
      <c r="AC119" s="12" t="s">
        <v>62</v>
      </c>
      <c r="AD119" s="224">
        <f t="shared" si="70"/>
        <v>4.3840620433565949</v>
      </c>
      <c r="AE119" s="224">
        <f t="shared" si="71"/>
        <v>4.4821869662029945</v>
      </c>
      <c r="AF119" s="224">
        <f t="shared" si="72"/>
        <v>5.0328918128646478</v>
      </c>
      <c r="AG119" s="224">
        <f t="shared" si="73"/>
        <v>4.6754678910243834</v>
      </c>
      <c r="AH119" s="224">
        <f t="shared" si="74"/>
        <v>4.9497474683058327</v>
      </c>
      <c r="AI119" s="224">
        <f t="shared" si="75"/>
        <v>5.3740115370177612</v>
      </c>
      <c r="AJ119" s="224">
        <f t="shared" si="76"/>
        <v>5.1623637996561227</v>
      </c>
      <c r="AK119" s="224">
        <f t="shared" si="77"/>
        <v>7.0434366611761332</v>
      </c>
      <c r="AL119" s="224">
        <f t="shared" si="78"/>
        <v>7.0802542327235685</v>
      </c>
    </row>
    <row r="120" spans="2:38" s="40" customFormat="1" x14ac:dyDescent="0.3">
      <c r="B120" s="39"/>
      <c r="D120" s="41"/>
      <c r="E120" s="12" t="s">
        <v>82</v>
      </c>
      <c r="F120" s="90">
        <f t="shared" ref="F120:N120" si="83">INDEX(rangeprovince, 1+165+population2value2+0, Q$133)</f>
        <v>1.7</v>
      </c>
      <c r="G120" s="90">
        <f t="shared" si="83"/>
        <v>1.8</v>
      </c>
      <c r="H120" s="90">
        <f t="shared" si="83"/>
        <v>1.8</v>
      </c>
      <c r="I120" s="90">
        <f t="shared" si="83"/>
        <v>1.5</v>
      </c>
      <c r="J120" s="90">
        <f t="shared" si="83"/>
        <v>1.7</v>
      </c>
      <c r="K120" s="90">
        <f t="shared" si="83"/>
        <v>2.1</v>
      </c>
      <c r="L120" s="90">
        <f t="shared" si="83"/>
        <v>2.1</v>
      </c>
      <c r="M120" s="90">
        <f t="shared" si="83"/>
        <v>2.6</v>
      </c>
      <c r="N120" s="90">
        <f t="shared" si="83"/>
        <v>2.5</v>
      </c>
      <c r="O120" s="90"/>
      <c r="P120" s="90"/>
      <c r="Q120" s="12" t="s">
        <v>82</v>
      </c>
      <c r="R120" s="90">
        <f t="shared" ref="R120:Z120" si="84">INDEX(rangeprovince, 2+165+population2value2+0, Q$133)</f>
        <v>1.7</v>
      </c>
      <c r="S120" s="90">
        <f t="shared" si="84"/>
        <v>1.8</v>
      </c>
      <c r="T120" s="90">
        <f t="shared" si="84"/>
        <v>1.8</v>
      </c>
      <c r="U120" s="90">
        <f t="shared" si="84"/>
        <v>1.8</v>
      </c>
      <c r="V120" s="90">
        <f t="shared" si="84"/>
        <v>1.7</v>
      </c>
      <c r="W120" s="90">
        <f t="shared" si="84"/>
        <v>2.1</v>
      </c>
      <c r="X120" s="90">
        <f t="shared" si="84"/>
        <v>1.8</v>
      </c>
      <c r="Y120" s="90">
        <f t="shared" si="84"/>
        <v>1.7</v>
      </c>
      <c r="Z120" s="90">
        <f t="shared" si="84"/>
        <v>1.2</v>
      </c>
      <c r="AA120" s="90"/>
      <c r="AB120" s="90"/>
      <c r="AC120" s="12" t="s">
        <v>82</v>
      </c>
      <c r="AD120" s="224">
        <f t="shared" si="70"/>
        <v>2.4041630560342613</v>
      </c>
      <c r="AE120" s="224">
        <f t="shared" si="71"/>
        <v>2.545584412271571</v>
      </c>
      <c r="AF120" s="224">
        <f t="shared" si="72"/>
        <v>2.545584412271571</v>
      </c>
      <c r="AG120" s="224">
        <f t="shared" si="73"/>
        <v>2.3430749027719964</v>
      </c>
      <c r="AH120" s="224">
        <f t="shared" si="74"/>
        <v>2.4041630560342613</v>
      </c>
      <c r="AI120" s="224">
        <f t="shared" si="75"/>
        <v>2.9698484809834995</v>
      </c>
      <c r="AJ120" s="224">
        <f t="shared" si="76"/>
        <v>2.7658633371878665</v>
      </c>
      <c r="AK120" s="224">
        <f t="shared" si="77"/>
        <v>3.1064449134018135</v>
      </c>
      <c r="AL120" s="224">
        <f t="shared" si="78"/>
        <v>2.7730849247724092</v>
      </c>
    </row>
    <row r="121" spans="2:38" s="40" customFormat="1" x14ac:dyDescent="0.3">
      <c r="B121" s="39"/>
      <c r="D121" s="41"/>
      <c r="E121" s="12" t="s">
        <v>83</v>
      </c>
      <c r="F121" s="90">
        <f t="shared" ref="F121:N121" si="85">INDEX(rangeprovince, 1+206+population2value2+0, Q$133)</f>
        <v>1.5</v>
      </c>
      <c r="G121" s="90">
        <f t="shared" si="85"/>
        <v>1.5</v>
      </c>
      <c r="H121" s="90">
        <f t="shared" si="85"/>
        <v>1.5</v>
      </c>
      <c r="I121" s="90">
        <f t="shared" si="85"/>
        <v>1.6</v>
      </c>
      <c r="J121" s="90">
        <f t="shared" si="85"/>
        <v>1.3</v>
      </c>
      <c r="K121" s="90">
        <f t="shared" si="85"/>
        <v>1.5</v>
      </c>
      <c r="L121" s="90">
        <f t="shared" si="85"/>
        <v>1.6</v>
      </c>
      <c r="M121" s="90">
        <f t="shared" si="85"/>
        <v>2.6</v>
      </c>
      <c r="N121" s="90">
        <f t="shared" si="85"/>
        <v>2.6</v>
      </c>
      <c r="O121" s="90"/>
      <c r="P121" s="90"/>
      <c r="Q121" s="12" t="s">
        <v>83</v>
      </c>
      <c r="R121" s="90">
        <f t="shared" ref="R121:Z121" si="86">INDEX(rangeprovince, 2+206+population2value2+0, Q$133)</f>
        <v>1.5</v>
      </c>
      <c r="S121" s="90">
        <f t="shared" si="86"/>
        <v>1.5</v>
      </c>
      <c r="T121" s="90">
        <f t="shared" si="86"/>
        <v>1.5</v>
      </c>
      <c r="U121" s="90">
        <f t="shared" si="86"/>
        <v>1.6</v>
      </c>
      <c r="V121" s="90">
        <f t="shared" si="86"/>
        <v>1.8</v>
      </c>
      <c r="W121" s="90">
        <f t="shared" si="86"/>
        <v>2</v>
      </c>
      <c r="X121" s="90">
        <f t="shared" si="86"/>
        <v>1.6</v>
      </c>
      <c r="Y121" s="90">
        <f t="shared" si="86"/>
        <v>2.2000000000000002</v>
      </c>
      <c r="Z121" s="90">
        <f t="shared" si="86"/>
        <v>2.2000000000000002</v>
      </c>
      <c r="AA121" s="90"/>
      <c r="AB121" s="90"/>
      <c r="AC121" s="12" t="s">
        <v>83</v>
      </c>
      <c r="AD121" s="224">
        <f t="shared" si="70"/>
        <v>2.1213203435596424</v>
      </c>
      <c r="AE121" s="224">
        <f t="shared" si="71"/>
        <v>2.1213203435596424</v>
      </c>
      <c r="AF121" s="224">
        <f t="shared" si="72"/>
        <v>2.1213203435596424</v>
      </c>
      <c r="AG121" s="224">
        <f t="shared" si="73"/>
        <v>2.2627416997969525</v>
      </c>
      <c r="AH121" s="224">
        <f t="shared" si="74"/>
        <v>2.220360331117452</v>
      </c>
      <c r="AI121" s="224">
        <f t="shared" si="75"/>
        <v>2.5</v>
      </c>
      <c r="AJ121" s="224">
        <f t="shared" si="76"/>
        <v>2.2627416997969525</v>
      </c>
      <c r="AK121" s="224">
        <f t="shared" si="77"/>
        <v>3.4058772731852804</v>
      </c>
      <c r="AL121" s="224">
        <f t="shared" si="78"/>
        <v>3.4058772731852804</v>
      </c>
    </row>
    <row r="122" spans="2:38" s="40" customFormat="1" x14ac:dyDescent="0.3">
      <c r="B122" s="39"/>
      <c r="D122" s="41"/>
      <c r="E122" s="12" t="s">
        <v>98</v>
      </c>
      <c r="F122" s="90">
        <f t="shared" ref="F122:N122" si="87">INDEX(rangeprovince, 1+247+population2value2+0,Q$133)</f>
        <v>3.1</v>
      </c>
      <c r="G122" s="90">
        <f t="shared" si="87"/>
        <v>3.8</v>
      </c>
      <c r="H122" s="90">
        <f t="shared" si="87"/>
        <v>4.2</v>
      </c>
      <c r="I122" s="90">
        <f t="shared" si="87"/>
        <v>3.6</v>
      </c>
      <c r="J122" s="90">
        <f t="shared" si="87"/>
        <v>5</v>
      </c>
      <c r="K122" s="90">
        <f t="shared" si="87"/>
        <v>5.0999999999999996</v>
      </c>
      <c r="L122" s="90">
        <f t="shared" si="87"/>
        <v>3.7</v>
      </c>
      <c r="M122" s="90">
        <f t="shared" si="87"/>
        <v>5</v>
      </c>
      <c r="N122" s="90">
        <f t="shared" si="87"/>
        <v>5.2</v>
      </c>
      <c r="O122" s="90"/>
      <c r="P122" s="90"/>
      <c r="Q122" s="12" t="s">
        <v>98</v>
      </c>
      <c r="R122" s="90">
        <f t="shared" ref="R122:Z122" si="88">INDEX(rangeprovince, 2+247+population2value2+0,Q$133)</f>
        <v>3.1</v>
      </c>
      <c r="S122" s="90">
        <f t="shared" si="88"/>
        <v>3.8</v>
      </c>
      <c r="T122" s="90">
        <f t="shared" si="88"/>
        <v>3</v>
      </c>
      <c r="U122" s="90">
        <f t="shared" si="88"/>
        <v>3.6</v>
      </c>
      <c r="V122" s="90">
        <f t="shared" si="88"/>
        <v>4.2</v>
      </c>
      <c r="W122" s="90">
        <f t="shared" si="88"/>
        <v>4.5</v>
      </c>
      <c r="X122" s="90">
        <f t="shared" si="88"/>
        <v>3</v>
      </c>
      <c r="Y122" s="90">
        <f t="shared" si="88"/>
        <v>4.2</v>
      </c>
      <c r="Z122" s="90">
        <f t="shared" si="88"/>
        <v>4.4000000000000004</v>
      </c>
      <c r="AA122" s="90"/>
      <c r="AB122" s="90"/>
      <c r="AC122" s="12" t="s">
        <v>98</v>
      </c>
      <c r="AD122" s="224">
        <f t="shared" si="70"/>
        <v>4.3840620433565949</v>
      </c>
      <c r="AE122" s="224">
        <f t="shared" si="71"/>
        <v>5.3740115370177612</v>
      </c>
      <c r="AF122" s="224">
        <f t="shared" si="72"/>
        <v>5.1613951602255765</v>
      </c>
      <c r="AG122" s="224">
        <f t="shared" si="73"/>
        <v>5.0911688245431419</v>
      </c>
      <c r="AH122" s="224">
        <f t="shared" si="74"/>
        <v>6.5299310869258029</v>
      </c>
      <c r="AI122" s="224">
        <f t="shared" si="75"/>
        <v>6.8014704292527801</v>
      </c>
      <c r="AJ122" s="224">
        <f t="shared" si="76"/>
        <v>4.7634021455258218</v>
      </c>
      <c r="AK122" s="224">
        <f t="shared" si="77"/>
        <v>6.5299310869258029</v>
      </c>
      <c r="AL122" s="224">
        <f t="shared" si="78"/>
        <v>6.8117545463705609</v>
      </c>
    </row>
    <row r="123" spans="2:38" s="40" customFormat="1" x14ac:dyDescent="0.3">
      <c r="B123" s="39"/>
      <c r="D123" s="41"/>
      <c r="E123" s="12" t="s">
        <v>85</v>
      </c>
      <c r="F123" s="90">
        <f t="shared" ref="F123:N123" si="89">INDEX(rangeprovince, 1+288+population2value2+0,Q$133)</f>
        <v>2.6</v>
      </c>
      <c r="G123" s="90">
        <f t="shared" si="89"/>
        <v>3.5</v>
      </c>
      <c r="H123" s="90">
        <f t="shared" si="89"/>
        <v>2.7</v>
      </c>
      <c r="I123" s="90">
        <f t="shared" si="89"/>
        <v>2.6</v>
      </c>
      <c r="J123" s="90">
        <f t="shared" si="89"/>
        <v>3.9</v>
      </c>
      <c r="K123" s="90">
        <f t="shared" si="89"/>
        <v>3.1</v>
      </c>
      <c r="L123" s="90">
        <f t="shared" si="89"/>
        <v>3.5</v>
      </c>
      <c r="M123" s="90">
        <f t="shared" si="89"/>
        <v>4.7</v>
      </c>
      <c r="N123" s="90">
        <f t="shared" si="89"/>
        <v>4.9000000000000004</v>
      </c>
      <c r="O123" s="90"/>
      <c r="P123" s="90"/>
      <c r="Q123" s="12" t="s">
        <v>85</v>
      </c>
      <c r="R123" s="90">
        <f t="shared" ref="R123:Z123" si="90">INDEX(rangeprovince, 2+288+population2value2+0,Q$133)</f>
        <v>2.6</v>
      </c>
      <c r="S123" s="90">
        <f t="shared" si="90"/>
        <v>3.5</v>
      </c>
      <c r="T123" s="90">
        <f t="shared" si="90"/>
        <v>3.7</v>
      </c>
      <c r="U123" s="90">
        <f t="shared" si="90"/>
        <v>3.3</v>
      </c>
      <c r="V123" s="90">
        <f t="shared" si="90"/>
        <v>3.2</v>
      </c>
      <c r="W123" s="90">
        <f t="shared" si="90"/>
        <v>3.6</v>
      </c>
      <c r="X123" s="90">
        <f t="shared" si="90"/>
        <v>3.5</v>
      </c>
      <c r="Y123" s="90">
        <f t="shared" si="90"/>
        <v>4</v>
      </c>
      <c r="Z123" s="90">
        <f t="shared" si="90"/>
        <v>4.0999999999999996</v>
      </c>
      <c r="AA123" s="90"/>
      <c r="AB123" s="90"/>
      <c r="AC123" s="12" t="s">
        <v>85</v>
      </c>
      <c r="AD123" s="224">
        <f t="shared" si="70"/>
        <v>3.6769552621700474</v>
      </c>
      <c r="AE123" s="224">
        <f t="shared" si="71"/>
        <v>4.9497474683058327</v>
      </c>
      <c r="AF123" s="224">
        <f t="shared" si="72"/>
        <v>4.5803929962395156</v>
      </c>
      <c r="AG123" s="224">
        <f t="shared" si="73"/>
        <v>4.201190307520001</v>
      </c>
      <c r="AH123" s="224">
        <f t="shared" si="74"/>
        <v>5.0447993022517759</v>
      </c>
      <c r="AI123" s="224">
        <f t="shared" si="75"/>
        <v>4.750789408087881</v>
      </c>
      <c r="AJ123" s="224">
        <f t="shared" si="76"/>
        <v>4.9497474683058327</v>
      </c>
      <c r="AK123" s="224">
        <f t="shared" si="77"/>
        <v>6.1717096496837893</v>
      </c>
      <c r="AL123" s="224">
        <f t="shared" si="78"/>
        <v>6.3890531379853153</v>
      </c>
    </row>
    <row r="124" spans="2:38" s="40" customFormat="1" x14ac:dyDescent="0.3">
      <c r="B124" s="39"/>
      <c r="D124" s="41"/>
      <c r="E124" s="12" t="s">
        <v>86</v>
      </c>
      <c r="F124" s="90">
        <f t="shared" ref="F124:N124" si="91">INDEX(rangeprovince,1+ 329+population2value2+0,Q$133)</f>
        <v>0.8</v>
      </c>
      <c r="G124" s="90">
        <f t="shared" si="91"/>
        <v>0.8</v>
      </c>
      <c r="H124" s="90">
        <f t="shared" si="91"/>
        <v>2.2000000000000002</v>
      </c>
      <c r="I124" s="90">
        <f t="shared" si="91"/>
        <v>3</v>
      </c>
      <c r="J124" s="90">
        <f t="shared" si="91"/>
        <v>2.7</v>
      </c>
      <c r="K124" s="90">
        <f t="shared" si="91"/>
        <v>3.7</v>
      </c>
      <c r="L124" s="90">
        <f t="shared" si="91"/>
        <v>3.8</v>
      </c>
      <c r="M124" s="90">
        <f t="shared" si="91"/>
        <v>1.2</v>
      </c>
      <c r="N124" s="90">
        <f t="shared" si="91"/>
        <v>1.3</v>
      </c>
      <c r="O124" s="90"/>
      <c r="P124" s="90"/>
      <c r="Q124" s="12" t="s">
        <v>86</v>
      </c>
      <c r="R124" s="90">
        <f t="shared" ref="R124:Z124" si="92">INDEX(rangeprovince,2+ 329+population2value2+0,Q$133)</f>
        <v>0.8</v>
      </c>
      <c r="S124" s="90">
        <f t="shared" si="92"/>
        <v>0.8</v>
      </c>
      <c r="T124" s="90">
        <f t="shared" si="92"/>
        <v>2.2000000000000002</v>
      </c>
      <c r="U124" s="90">
        <f t="shared" si="92"/>
        <v>3</v>
      </c>
      <c r="V124" s="90">
        <f t="shared" si="92"/>
        <v>2.7</v>
      </c>
      <c r="W124" s="90">
        <f t="shared" si="92"/>
        <v>3</v>
      </c>
      <c r="X124" s="90">
        <f t="shared" si="92"/>
        <v>2.6</v>
      </c>
      <c r="Y124" s="90">
        <f t="shared" si="92"/>
        <v>1</v>
      </c>
      <c r="Z124" s="90">
        <f t="shared" si="92"/>
        <v>1</v>
      </c>
      <c r="AA124" s="90"/>
      <c r="AB124" s="90"/>
      <c r="AC124" s="12" t="s">
        <v>86</v>
      </c>
      <c r="AD124" s="224">
        <f t="shared" si="70"/>
        <v>1.1313708498984762</v>
      </c>
      <c r="AE124" s="224">
        <f t="shared" si="71"/>
        <v>1.1313708498984762</v>
      </c>
      <c r="AF124" s="224">
        <f t="shared" si="72"/>
        <v>3.1112698372208092</v>
      </c>
      <c r="AG124" s="224">
        <f t="shared" si="73"/>
        <v>4.2426406871192848</v>
      </c>
      <c r="AH124" s="224">
        <f t="shared" si="74"/>
        <v>3.8183766184073571</v>
      </c>
      <c r="AI124" s="224">
        <f t="shared" si="75"/>
        <v>4.7634021455258218</v>
      </c>
      <c r="AJ124" s="224">
        <f t="shared" si="76"/>
        <v>4.6043457732885349</v>
      </c>
      <c r="AK124" s="224">
        <f t="shared" si="77"/>
        <v>1.5620499351813308</v>
      </c>
      <c r="AL124" s="224">
        <f t="shared" si="78"/>
        <v>1.6401219466856727</v>
      </c>
    </row>
    <row r="125" spans="2:38" s="40" customFormat="1" x14ac:dyDescent="0.3">
      <c r="B125" s="39"/>
      <c r="D125" s="41"/>
      <c r="E125" s="12" t="s">
        <v>67</v>
      </c>
      <c r="F125" s="90">
        <f t="shared" ref="F125:N125" si="93">INDEX(rangeprovince, 1+370+population2value2+0,Q$133)</f>
        <v>2.4</v>
      </c>
      <c r="G125" s="90">
        <f t="shared" si="93"/>
        <v>2.7</v>
      </c>
      <c r="H125" s="90">
        <f t="shared" si="93"/>
        <v>2.6</v>
      </c>
      <c r="I125" s="90">
        <f t="shared" si="93"/>
        <v>2.9</v>
      </c>
      <c r="J125" s="90">
        <f t="shared" si="93"/>
        <v>3.3</v>
      </c>
      <c r="K125" s="90">
        <f t="shared" si="93"/>
        <v>3.7</v>
      </c>
      <c r="L125" s="90">
        <f t="shared" si="93"/>
        <v>3</v>
      </c>
      <c r="M125" s="90">
        <f t="shared" si="93"/>
        <v>3.5</v>
      </c>
      <c r="N125" s="90">
        <f t="shared" si="93"/>
        <v>3.5</v>
      </c>
      <c r="O125" s="90"/>
      <c r="P125" s="90"/>
      <c r="Q125" s="12" t="s">
        <v>67</v>
      </c>
      <c r="R125" s="90">
        <f t="shared" ref="R125:Z125" si="94">INDEX(rangeprovince, 2+370+population2value2+0,Q$133)</f>
        <v>1.8</v>
      </c>
      <c r="S125" s="90">
        <f t="shared" si="94"/>
        <v>2.1</v>
      </c>
      <c r="T125" s="90">
        <f t="shared" si="94"/>
        <v>2.1</v>
      </c>
      <c r="U125" s="90">
        <f t="shared" si="94"/>
        <v>2.2999999999999998</v>
      </c>
      <c r="V125" s="90">
        <f t="shared" si="94"/>
        <v>2.1</v>
      </c>
      <c r="W125" s="90">
        <f t="shared" si="94"/>
        <v>2.4</v>
      </c>
      <c r="X125" s="90">
        <f t="shared" si="94"/>
        <v>1.9</v>
      </c>
      <c r="Y125" s="90">
        <f t="shared" si="94"/>
        <v>1.7</v>
      </c>
      <c r="Z125" s="90">
        <f t="shared" si="94"/>
        <v>1.7</v>
      </c>
      <c r="AA125" s="90"/>
      <c r="AB125" s="90"/>
      <c r="AC125" s="12" t="s">
        <v>67</v>
      </c>
      <c r="AD125" s="224">
        <f t="shared" si="70"/>
        <v>3</v>
      </c>
      <c r="AE125" s="224">
        <f t="shared" si="71"/>
        <v>3.4205262752974139</v>
      </c>
      <c r="AF125" s="224">
        <f t="shared" si="72"/>
        <v>3.3421549934136809</v>
      </c>
      <c r="AG125" s="224">
        <f t="shared" si="73"/>
        <v>3.7013511046643495</v>
      </c>
      <c r="AH125" s="224">
        <f t="shared" si="74"/>
        <v>3.9115214431215892</v>
      </c>
      <c r="AI125" s="224">
        <f t="shared" si="75"/>
        <v>4.4102154142399899</v>
      </c>
      <c r="AJ125" s="224">
        <f t="shared" si="76"/>
        <v>3.5510561809129406</v>
      </c>
      <c r="AK125" s="224">
        <f t="shared" si="77"/>
        <v>3.8910152916687442</v>
      </c>
      <c r="AL125" s="224">
        <f t="shared" si="78"/>
        <v>3.8910152916687442</v>
      </c>
    </row>
    <row r="126" spans="2:38" s="40" customFormat="1" x14ac:dyDescent="0.3">
      <c r="B126" s="39"/>
      <c r="D126" s="41"/>
      <c r="E126" s="12" t="s">
        <v>158</v>
      </c>
      <c r="F126" s="90">
        <f t="shared" ref="F126:N126" si="95">INDEX(rangeprovince, 1+411+population2value2+0,Q$133)</f>
        <v>0.8</v>
      </c>
      <c r="G126" s="90">
        <f t="shared" si="95"/>
        <v>0.8</v>
      </c>
      <c r="H126" s="90">
        <f t="shared" si="95"/>
        <v>0.9</v>
      </c>
      <c r="I126" s="90">
        <f t="shared" si="95"/>
        <v>0.9</v>
      </c>
      <c r="J126" s="90">
        <f t="shared" si="95"/>
        <v>1.1000000000000001</v>
      </c>
      <c r="K126" s="90">
        <f t="shared" si="95"/>
        <v>1.2</v>
      </c>
      <c r="L126" s="90">
        <f t="shared" si="95"/>
        <v>1.2</v>
      </c>
      <c r="M126" s="90">
        <f t="shared" si="95"/>
        <v>1.2</v>
      </c>
      <c r="N126" s="90">
        <f t="shared" si="95"/>
        <v>1.3</v>
      </c>
      <c r="O126" s="90"/>
      <c r="P126" s="90"/>
      <c r="Q126" s="12" t="s">
        <v>158</v>
      </c>
      <c r="R126" s="90">
        <f t="shared" ref="R126:Z126" si="96">INDEX(rangeprovince, 2+411+population2value2+0,Q$133)</f>
        <v>0.8</v>
      </c>
      <c r="S126" s="90">
        <f t="shared" si="96"/>
        <v>0.8</v>
      </c>
      <c r="T126" s="90">
        <f t="shared" si="96"/>
        <v>0.8</v>
      </c>
      <c r="U126" s="90">
        <f t="shared" si="96"/>
        <v>0.8</v>
      </c>
      <c r="V126" s="90">
        <f t="shared" si="96"/>
        <v>0.8</v>
      </c>
      <c r="W126" s="90">
        <f t="shared" si="96"/>
        <v>0.9</v>
      </c>
      <c r="X126" s="90">
        <f t="shared" si="96"/>
        <v>0.9</v>
      </c>
      <c r="Y126" s="90">
        <f t="shared" si="96"/>
        <v>1</v>
      </c>
      <c r="Z126" s="90">
        <f t="shared" si="96"/>
        <v>1</v>
      </c>
      <c r="AA126" s="90"/>
      <c r="AB126" s="90"/>
      <c r="AC126" s="12" t="s">
        <v>158</v>
      </c>
      <c r="AD126" s="224">
        <f t="shared" si="70"/>
        <v>1.1313708498984762</v>
      </c>
      <c r="AE126" s="224">
        <f t="shared" si="71"/>
        <v>1.1313708498984762</v>
      </c>
      <c r="AF126" s="224">
        <f t="shared" si="72"/>
        <v>1.2041594578792296</v>
      </c>
      <c r="AG126" s="224">
        <f t="shared" si="73"/>
        <v>1.2041594578792296</v>
      </c>
      <c r="AH126" s="224">
        <f t="shared" si="74"/>
        <v>1.3601470508735445</v>
      </c>
      <c r="AI126" s="224">
        <f t="shared" si="75"/>
        <v>1.5</v>
      </c>
      <c r="AJ126" s="224">
        <f t="shared" si="76"/>
        <v>1.5</v>
      </c>
      <c r="AK126" s="224">
        <f t="shared" si="77"/>
        <v>1.5620499351813308</v>
      </c>
      <c r="AL126" s="224">
        <f t="shared" si="78"/>
        <v>1.6401219466856727</v>
      </c>
    </row>
    <row r="127" spans="2:38" s="40" customFormat="1" x14ac:dyDescent="0.3">
      <c r="B127" s="39"/>
      <c r="D127" s="41"/>
      <c r="E127" s="12"/>
      <c r="F127" s="90"/>
      <c r="G127" s="90"/>
      <c r="H127" s="90"/>
      <c r="I127" s="90"/>
      <c r="J127" s="90"/>
      <c r="K127" s="90"/>
      <c r="L127" s="90"/>
      <c r="M127" s="90"/>
      <c r="N127" s="90"/>
      <c r="O127" s="90"/>
      <c r="P127" s="90"/>
      <c r="R127" s="90"/>
      <c r="S127" s="90"/>
      <c r="T127" s="90"/>
      <c r="U127" s="90"/>
      <c r="V127" s="90"/>
      <c r="W127" s="90"/>
      <c r="X127" s="90"/>
      <c r="Y127" s="90"/>
      <c r="Z127" s="90"/>
      <c r="AA127" s="90"/>
      <c r="AB127" s="90"/>
    </row>
    <row r="128" spans="2:38" s="40" customFormat="1" x14ac:dyDescent="0.3">
      <c r="B128" s="39"/>
      <c r="D128" s="41"/>
      <c r="E128" s="12"/>
      <c r="F128" s="2"/>
      <c r="G128" s="2"/>
      <c r="H128" s="2"/>
      <c r="I128" s="2"/>
      <c r="J128" s="2"/>
      <c r="K128" s="2"/>
      <c r="L128" s="2"/>
      <c r="M128" s="2"/>
      <c r="N128" s="2"/>
      <c r="O128" s="2"/>
      <c r="P128" s="2"/>
      <c r="R128" s="3"/>
      <c r="S128" s="3"/>
      <c r="T128" s="3"/>
      <c r="U128" s="3"/>
      <c r="V128" s="3"/>
      <c r="W128" s="3"/>
      <c r="X128" s="3"/>
      <c r="Y128" s="3"/>
      <c r="Z128" s="3"/>
      <c r="AA128" s="3"/>
      <c r="AB128" s="3"/>
    </row>
    <row r="129" spans="2:51" s="40" customFormat="1" x14ac:dyDescent="0.3">
      <c r="B129" s="39"/>
      <c r="D129" s="41"/>
      <c r="E129" s="12"/>
      <c r="F129" s="2"/>
      <c r="G129" s="2"/>
      <c r="H129" s="2"/>
      <c r="I129" s="2"/>
      <c r="J129" s="2"/>
      <c r="K129" s="2"/>
      <c r="L129" s="2"/>
      <c r="M129" s="2"/>
      <c r="N129" s="2"/>
      <c r="O129" s="2"/>
      <c r="P129" s="2"/>
      <c r="R129" s="3"/>
      <c r="S129" s="3"/>
      <c r="T129" s="3"/>
      <c r="U129" s="3"/>
      <c r="V129" s="3"/>
      <c r="W129" s="3"/>
      <c r="X129" s="3"/>
      <c r="Y129" s="3"/>
      <c r="Z129" s="3"/>
      <c r="AA129" s="3"/>
      <c r="AB129" s="3"/>
    </row>
    <row r="130" spans="2:51" x14ac:dyDescent="0.3">
      <c r="D130" s="31"/>
      <c r="E130" s="12"/>
      <c r="F130" s="31"/>
      <c r="G130" s="31"/>
      <c r="H130" s="31"/>
      <c r="I130" s="31"/>
      <c r="J130" s="31"/>
      <c r="K130" s="31"/>
      <c r="L130" s="31"/>
      <c r="M130" s="31"/>
      <c r="N130" s="31"/>
      <c r="O130" s="31"/>
      <c r="P130" s="31"/>
      <c r="Q130" s="31"/>
      <c r="R130" s="31"/>
      <c r="S130" s="31"/>
      <c r="T130" s="31"/>
      <c r="U130" s="31"/>
      <c r="V130" s="31"/>
      <c r="W130" s="31"/>
    </row>
    <row r="131" spans="2:51" x14ac:dyDescent="0.3">
      <c r="D131" s="31"/>
      <c r="E131" s="12"/>
      <c r="F131" s="31"/>
      <c r="G131" s="31"/>
      <c r="H131" s="31"/>
      <c r="I131" s="31"/>
      <c r="J131" s="31"/>
      <c r="K131" s="31"/>
      <c r="L131" s="31"/>
      <c r="M131" s="31"/>
      <c r="N131" s="31"/>
      <c r="O131" s="31"/>
      <c r="P131" s="31"/>
      <c r="Q131" s="31"/>
      <c r="R131" s="31"/>
      <c r="S131" s="31"/>
      <c r="T131" s="31"/>
      <c r="U131" s="31"/>
      <c r="V131" s="31"/>
      <c r="W131" s="31"/>
    </row>
    <row r="132" spans="2:51" s="23" customFormat="1" ht="25.8" x14ac:dyDescent="0.3">
      <c r="B132" s="54"/>
      <c r="C132" s="25" t="s">
        <v>20</v>
      </c>
      <c r="E132" s="24"/>
    </row>
    <row r="133" spans="2:51" x14ac:dyDescent="0.3">
      <c r="E133" s="9"/>
      <c r="F133" s="5">
        <v>1</v>
      </c>
      <c r="G133" s="5">
        <v>2</v>
      </c>
      <c r="H133" s="5">
        <v>3</v>
      </c>
      <c r="I133" s="5">
        <v>4</v>
      </c>
      <c r="J133" s="5">
        <v>5</v>
      </c>
      <c r="K133" s="5">
        <v>6</v>
      </c>
      <c r="L133" s="5">
        <v>7</v>
      </c>
      <c r="M133" s="5">
        <v>8</v>
      </c>
      <c r="N133" s="5">
        <v>9</v>
      </c>
      <c r="O133" s="5">
        <v>10</v>
      </c>
      <c r="P133" s="5">
        <v>11</v>
      </c>
      <c r="Q133" s="5">
        <v>12</v>
      </c>
      <c r="R133" s="5">
        <v>13</v>
      </c>
      <c r="S133" s="5">
        <v>14</v>
      </c>
      <c r="T133" s="5">
        <v>15</v>
      </c>
      <c r="U133" s="5">
        <v>16</v>
      </c>
      <c r="V133" s="5">
        <v>17</v>
      </c>
      <c r="W133" s="5">
        <v>18</v>
      </c>
      <c r="X133" s="5">
        <v>19</v>
      </c>
      <c r="Y133" s="5">
        <v>20</v>
      </c>
      <c r="Z133" s="5">
        <v>21</v>
      </c>
      <c r="AA133" s="5">
        <v>22</v>
      </c>
      <c r="AB133" s="5">
        <v>23</v>
      </c>
      <c r="AC133" s="5">
        <v>24</v>
      </c>
      <c r="AD133" s="5">
        <v>25</v>
      </c>
      <c r="AE133" s="5">
        <v>26</v>
      </c>
      <c r="AF133" s="5">
        <v>27</v>
      </c>
      <c r="AG133" s="5">
        <v>28</v>
      </c>
      <c r="AH133" s="5">
        <v>29</v>
      </c>
      <c r="AI133" s="5">
        <v>30</v>
      </c>
      <c r="AJ133" s="5">
        <v>31</v>
      </c>
      <c r="AK133" s="5">
        <v>32</v>
      </c>
      <c r="AL133" s="5">
        <v>33</v>
      </c>
      <c r="AM133" s="5">
        <v>34</v>
      </c>
      <c r="AN133" s="5">
        <v>35</v>
      </c>
      <c r="AO133" s="5">
        <v>36</v>
      </c>
      <c r="AP133" s="5">
        <v>37</v>
      </c>
      <c r="AQ133" s="5">
        <v>38</v>
      </c>
      <c r="AR133" s="5">
        <v>39</v>
      </c>
      <c r="AS133" s="5">
        <v>40</v>
      </c>
      <c r="AT133" s="5">
        <v>41</v>
      </c>
      <c r="AU133" s="5">
        <v>42</v>
      </c>
      <c r="AV133" s="5">
        <v>43</v>
      </c>
      <c r="AW133" s="5">
        <v>44</v>
      </c>
      <c r="AX133" s="5">
        <v>45</v>
      </c>
      <c r="AY133" s="5">
        <v>46</v>
      </c>
    </row>
    <row r="134" spans="2:51" x14ac:dyDescent="0.3">
      <c r="E134" s="9"/>
    </row>
    <row r="135" spans="2:51" x14ac:dyDescent="0.3">
      <c r="E135" s="9"/>
    </row>
    <row r="136" spans="2:51" x14ac:dyDescent="0.3">
      <c r="E136" s="9"/>
    </row>
    <row r="137" spans="2:51" x14ac:dyDescent="0.3">
      <c r="E137" s="9"/>
    </row>
    <row r="138" spans="2:51" x14ac:dyDescent="0.3">
      <c r="E138" s="9"/>
    </row>
    <row r="139" spans="2:51" x14ac:dyDescent="0.3">
      <c r="E139" s="9"/>
    </row>
    <row r="140" spans="2:51" x14ac:dyDescent="0.3">
      <c r="E140" s="9"/>
    </row>
    <row r="141" spans="2:51" x14ac:dyDescent="0.3">
      <c r="E141" s="9"/>
    </row>
    <row r="142" spans="2:51" x14ac:dyDescent="0.3">
      <c r="E142" s="9"/>
    </row>
    <row r="143" spans="2:51" x14ac:dyDescent="0.3">
      <c r="E143" s="9"/>
    </row>
    <row r="144" spans="2:51" x14ac:dyDescent="0.3">
      <c r="E144" s="9"/>
    </row>
    <row r="145" spans="5:5" x14ac:dyDescent="0.3">
      <c r="E145" s="9"/>
    </row>
    <row r="146" spans="5:5" x14ac:dyDescent="0.3">
      <c r="E146" s="9"/>
    </row>
    <row r="147" spans="5:5" x14ac:dyDescent="0.3">
      <c r="E147" s="9"/>
    </row>
    <row r="148" spans="5:5" x14ac:dyDescent="0.3">
      <c r="E148" s="9"/>
    </row>
    <row r="149" spans="5:5" x14ac:dyDescent="0.3">
      <c r="E149" s="9"/>
    </row>
    <row r="150" spans="5:5" x14ac:dyDescent="0.3">
      <c r="E150" s="9"/>
    </row>
    <row r="151" spans="5:5" x14ac:dyDescent="0.3">
      <c r="E151" s="9"/>
    </row>
    <row r="152" spans="5:5" x14ac:dyDescent="0.3">
      <c r="E152" s="9"/>
    </row>
    <row r="153" spans="5:5" x14ac:dyDescent="0.3">
      <c r="E153" s="9"/>
    </row>
    <row r="154" spans="5:5" x14ac:dyDescent="0.3">
      <c r="E154" s="9"/>
    </row>
    <row r="155" spans="5:5" x14ac:dyDescent="0.3">
      <c r="E155" s="9"/>
    </row>
    <row r="156" spans="5:5" x14ac:dyDescent="0.3">
      <c r="E156" s="9"/>
    </row>
    <row r="157" spans="5:5" x14ac:dyDescent="0.3">
      <c r="E157" s="9"/>
    </row>
    <row r="158" spans="5:5" x14ac:dyDescent="0.3">
      <c r="E158" s="9"/>
    </row>
    <row r="159" spans="5:5" x14ac:dyDescent="0.3">
      <c r="E159" s="9"/>
    </row>
    <row r="160" spans="5:5" x14ac:dyDescent="0.3">
      <c r="E160" s="9"/>
    </row>
    <row r="161" spans="5:5" x14ac:dyDescent="0.3">
      <c r="E161" s="9"/>
    </row>
    <row r="162" spans="5:5" x14ac:dyDescent="0.3">
      <c r="E162" s="9"/>
    </row>
    <row r="163" spans="5:5" x14ac:dyDescent="0.3">
      <c r="E163" s="9"/>
    </row>
    <row r="164" spans="5:5" x14ac:dyDescent="0.3">
      <c r="E164" s="9"/>
    </row>
    <row r="165" spans="5:5" x14ac:dyDescent="0.3">
      <c r="E165" s="9"/>
    </row>
    <row r="166" spans="5:5" x14ac:dyDescent="0.3">
      <c r="E166" s="9"/>
    </row>
    <row r="167" spans="5:5" x14ac:dyDescent="0.3">
      <c r="E167" s="9"/>
    </row>
    <row r="168" spans="5:5" x14ac:dyDescent="0.3">
      <c r="E168" s="9"/>
    </row>
    <row r="169" spans="5:5" x14ac:dyDescent="0.3">
      <c r="E169" s="9"/>
    </row>
    <row r="170" spans="5:5" x14ac:dyDescent="0.3">
      <c r="E170" s="9"/>
    </row>
    <row r="171" spans="5:5" x14ac:dyDescent="0.3">
      <c r="E171" s="9"/>
    </row>
    <row r="172" spans="5:5" x14ac:dyDescent="0.3">
      <c r="E172" s="9"/>
    </row>
    <row r="173" spans="5:5" x14ac:dyDescent="0.3">
      <c r="E173" s="9"/>
    </row>
    <row r="174" spans="5:5" x14ac:dyDescent="0.3">
      <c r="E174" s="9"/>
    </row>
    <row r="175" spans="5:5" x14ac:dyDescent="0.3">
      <c r="E175" s="9"/>
    </row>
    <row r="176" spans="5:5" x14ac:dyDescent="0.3">
      <c r="E176" s="9"/>
    </row>
    <row r="177" spans="5:5" x14ac:dyDescent="0.3">
      <c r="E177" s="9"/>
    </row>
    <row r="178" spans="5:5" x14ac:dyDescent="0.3">
      <c r="E178" s="9"/>
    </row>
    <row r="179" spans="5:5" x14ac:dyDescent="0.3">
      <c r="E179" s="9"/>
    </row>
    <row r="180" spans="5:5" x14ac:dyDescent="0.3">
      <c r="E180" s="9"/>
    </row>
    <row r="181" spans="5:5" x14ac:dyDescent="0.3">
      <c r="E181" s="9"/>
    </row>
    <row r="182" spans="5:5" x14ac:dyDescent="0.3">
      <c r="E182" s="9"/>
    </row>
    <row r="183" spans="5:5" x14ac:dyDescent="0.3">
      <c r="E183" s="9"/>
    </row>
    <row r="184" spans="5:5" x14ac:dyDescent="0.3">
      <c r="E184" s="9"/>
    </row>
    <row r="185" spans="5:5" x14ac:dyDescent="0.3">
      <c r="E185" s="9"/>
    </row>
    <row r="186" spans="5:5" x14ac:dyDescent="0.3">
      <c r="E186" s="9"/>
    </row>
    <row r="187" spans="5:5" x14ac:dyDescent="0.3">
      <c r="E187" s="9"/>
    </row>
    <row r="188" spans="5:5" x14ac:dyDescent="0.3">
      <c r="E188" s="9"/>
    </row>
    <row r="189" spans="5:5" x14ac:dyDescent="0.3">
      <c r="E189" s="9"/>
    </row>
    <row r="190" spans="5:5" x14ac:dyDescent="0.3">
      <c r="E190" s="9"/>
    </row>
    <row r="191" spans="5:5" x14ac:dyDescent="0.3">
      <c r="E191" s="9"/>
    </row>
    <row r="192" spans="5:5" x14ac:dyDescent="0.3">
      <c r="E192" s="9"/>
    </row>
    <row r="193" spans="5:5" x14ac:dyDescent="0.3">
      <c r="E193" s="9"/>
    </row>
    <row r="194" spans="5:5" x14ac:dyDescent="0.3">
      <c r="E194" s="9"/>
    </row>
    <row r="195" spans="5:5" x14ac:dyDescent="0.3">
      <c r="E195" s="9"/>
    </row>
    <row r="196" spans="5:5" x14ac:dyDescent="0.3">
      <c r="E196" s="9"/>
    </row>
    <row r="197" spans="5:5" x14ac:dyDescent="0.3">
      <c r="E197" s="9"/>
    </row>
    <row r="198" spans="5:5" x14ac:dyDescent="0.3">
      <c r="E198" s="9"/>
    </row>
    <row r="199" spans="5:5" x14ac:dyDescent="0.3">
      <c r="E199" s="9"/>
    </row>
    <row r="200" spans="5:5" x14ac:dyDescent="0.3">
      <c r="E200" s="9"/>
    </row>
    <row r="201" spans="5:5" x14ac:dyDescent="0.3">
      <c r="E201" s="9"/>
    </row>
    <row r="202" spans="5:5" x14ac:dyDescent="0.3">
      <c r="E202" s="9"/>
    </row>
    <row r="203" spans="5:5" x14ac:dyDescent="0.3">
      <c r="E203" s="9"/>
    </row>
    <row r="204" spans="5:5" x14ac:dyDescent="0.3">
      <c r="E204" s="9"/>
    </row>
    <row r="205" spans="5:5" x14ac:dyDescent="0.3">
      <c r="E205" s="9"/>
    </row>
    <row r="206" spans="5:5" x14ac:dyDescent="0.3">
      <c r="E206" s="9"/>
    </row>
    <row r="207" spans="5:5" x14ac:dyDescent="0.3">
      <c r="E207" s="9"/>
    </row>
    <row r="208" spans="5:5" x14ac:dyDescent="0.3">
      <c r="E208" s="9"/>
    </row>
    <row r="209" spans="5:5" x14ac:dyDescent="0.3">
      <c r="E209" s="9"/>
    </row>
    <row r="210" spans="5:5" x14ac:dyDescent="0.3">
      <c r="E210" s="9"/>
    </row>
    <row r="211" spans="5:5" x14ac:dyDescent="0.3">
      <c r="E211" s="9"/>
    </row>
    <row r="212" spans="5:5" x14ac:dyDescent="0.3">
      <c r="E212" s="9"/>
    </row>
    <row r="213" spans="5:5" x14ac:dyDescent="0.3">
      <c r="E213" s="9"/>
    </row>
    <row r="214" spans="5:5" x14ac:dyDescent="0.3">
      <c r="E214" s="9"/>
    </row>
    <row r="215" spans="5:5" x14ac:dyDescent="0.3">
      <c r="E215" s="9"/>
    </row>
    <row r="216" spans="5:5" x14ac:dyDescent="0.3">
      <c r="E216" s="9"/>
    </row>
    <row r="217" spans="5:5" x14ac:dyDescent="0.3">
      <c r="E217" s="9"/>
    </row>
    <row r="218" spans="5:5" x14ac:dyDescent="0.3">
      <c r="E218" s="9"/>
    </row>
    <row r="219" spans="5:5" x14ac:dyDescent="0.3">
      <c r="E219" s="9"/>
    </row>
    <row r="220" spans="5:5" x14ac:dyDescent="0.3">
      <c r="E220" s="9"/>
    </row>
    <row r="221" spans="5:5" x14ac:dyDescent="0.3">
      <c r="E221" s="9"/>
    </row>
    <row r="222" spans="5:5" x14ac:dyDescent="0.3">
      <c r="E222" s="9"/>
    </row>
    <row r="223" spans="5:5" x14ac:dyDescent="0.3">
      <c r="E223" s="9"/>
    </row>
    <row r="224" spans="5:5" x14ac:dyDescent="0.3">
      <c r="E224" s="9"/>
    </row>
    <row r="225" spans="5:5" x14ac:dyDescent="0.3">
      <c r="E225" s="9"/>
    </row>
    <row r="226" spans="5:5" x14ac:dyDescent="0.3">
      <c r="E226" s="9"/>
    </row>
    <row r="227" spans="5:5" x14ac:dyDescent="0.3">
      <c r="E227" s="9"/>
    </row>
    <row r="228" spans="5:5" x14ac:dyDescent="0.3">
      <c r="E228" s="9"/>
    </row>
    <row r="229" spans="5:5" x14ac:dyDescent="0.3">
      <c r="E229" s="9"/>
    </row>
    <row r="230" spans="5:5" x14ac:dyDescent="0.3">
      <c r="E230" s="9"/>
    </row>
    <row r="231" spans="5:5" x14ac:dyDescent="0.3">
      <c r="E231" s="9"/>
    </row>
    <row r="232" spans="5:5" x14ac:dyDescent="0.3">
      <c r="E232" s="9"/>
    </row>
    <row r="233" spans="5:5" x14ac:dyDescent="0.3">
      <c r="E233" s="9"/>
    </row>
    <row r="234" spans="5:5" x14ac:dyDescent="0.3">
      <c r="E234" s="9"/>
    </row>
    <row r="235" spans="5:5" x14ac:dyDescent="0.3">
      <c r="E235" s="9"/>
    </row>
    <row r="236" spans="5:5" x14ac:dyDescent="0.3">
      <c r="E236" s="9"/>
    </row>
    <row r="237" spans="5:5" x14ac:dyDescent="0.3">
      <c r="E237" s="9"/>
    </row>
    <row r="238" spans="5:5" x14ac:dyDescent="0.3">
      <c r="E238" s="9"/>
    </row>
    <row r="239" spans="5:5" x14ac:dyDescent="0.3">
      <c r="E239" s="9"/>
    </row>
    <row r="240" spans="5:5" x14ac:dyDescent="0.3">
      <c r="E240" s="9"/>
    </row>
    <row r="241" spans="5:5" x14ac:dyDescent="0.3">
      <c r="E241" s="9"/>
    </row>
    <row r="242" spans="5:5" x14ac:dyDescent="0.3">
      <c r="E242" s="9"/>
    </row>
    <row r="243" spans="5:5" x14ac:dyDescent="0.3">
      <c r="E243" s="9"/>
    </row>
    <row r="244" spans="5:5" x14ac:dyDescent="0.3">
      <c r="E244" s="9"/>
    </row>
    <row r="245" spans="5:5" x14ac:dyDescent="0.3">
      <c r="E245" s="9"/>
    </row>
    <row r="246" spans="5:5" x14ac:dyDescent="0.3">
      <c r="E246" s="9"/>
    </row>
    <row r="247" spans="5:5" x14ac:dyDescent="0.3">
      <c r="E247" s="9"/>
    </row>
    <row r="248" spans="5:5" x14ac:dyDescent="0.3">
      <c r="E248" s="9"/>
    </row>
    <row r="249" spans="5:5" x14ac:dyDescent="0.3">
      <c r="E249" s="9"/>
    </row>
    <row r="250" spans="5:5" x14ac:dyDescent="0.3">
      <c r="E250" s="9"/>
    </row>
    <row r="251" spans="5:5" x14ac:dyDescent="0.3">
      <c r="E251" s="9"/>
    </row>
    <row r="252" spans="5:5" x14ac:dyDescent="0.3">
      <c r="E252" s="9"/>
    </row>
    <row r="253" spans="5:5" x14ac:dyDescent="0.3">
      <c r="E253" s="9"/>
    </row>
    <row r="254" spans="5:5" x14ac:dyDescent="0.3">
      <c r="E254" s="9"/>
    </row>
    <row r="255" spans="5:5" x14ac:dyDescent="0.3">
      <c r="E255" s="9"/>
    </row>
    <row r="256" spans="5:5" x14ac:dyDescent="0.3">
      <c r="E256" s="9"/>
    </row>
    <row r="257" spans="5:5" x14ac:dyDescent="0.3">
      <c r="E257" s="9"/>
    </row>
    <row r="258" spans="5:5" x14ac:dyDescent="0.3">
      <c r="E258" s="9"/>
    </row>
    <row r="259" spans="5:5" x14ac:dyDescent="0.3">
      <c r="E259" s="9"/>
    </row>
    <row r="260" spans="5:5" x14ac:dyDescent="0.3">
      <c r="E260" s="9"/>
    </row>
    <row r="261" spans="5:5" x14ac:dyDescent="0.3">
      <c r="E261" s="9"/>
    </row>
    <row r="262" spans="5:5" x14ac:dyDescent="0.3">
      <c r="E262" s="9"/>
    </row>
    <row r="263" spans="5:5" x14ac:dyDescent="0.3">
      <c r="E263" s="9"/>
    </row>
    <row r="264" spans="5:5" x14ac:dyDescent="0.3">
      <c r="E264" s="9"/>
    </row>
    <row r="265" spans="5:5" x14ac:dyDescent="0.3">
      <c r="E265" s="9"/>
    </row>
    <row r="266" spans="5:5" x14ac:dyDescent="0.3">
      <c r="E266" s="9"/>
    </row>
    <row r="267" spans="5:5" x14ac:dyDescent="0.3">
      <c r="E267" s="9"/>
    </row>
    <row r="268" spans="5:5" x14ac:dyDescent="0.3">
      <c r="E268" s="9"/>
    </row>
    <row r="269" spans="5:5" x14ac:dyDescent="0.3">
      <c r="E269" s="9"/>
    </row>
    <row r="270" spans="5:5" x14ac:dyDescent="0.3">
      <c r="E270" s="9"/>
    </row>
    <row r="271" spans="5:5" x14ac:dyDescent="0.3">
      <c r="E271" s="9"/>
    </row>
    <row r="272" spans="5:5" x14ac:dyDescent="0.3">
      <c r="E272" s="9"/>
    </row>
    <row r="273" spans="5:5" x14ac:dyDescent="0.3">
      <c r="E273" s="9"/>
    </row>
    <row r="274" spans="5:5" x14ac:dyDescent="0.3">
      <c r="E274" s="9"/>
    </row>
    <row r="275" spans="5:5" x14ac:dyDescent="0.3">
      <c r="E275" s="9"/>
    </row>
    <row r="276" spans="5:5" x14ac:dyDescent="0.3">
      <c r="E276" s="9"/>
    </row>
    <row r="277" spans="5:5" x14ac:dyDescent="0.3">
      <c r="E277" s="9"/>
    </row>
    <row r="278" spans="5:5" x14ac:dyDescent="0.3">
      <c r="E278" s="9"/>
    </row>
    <row r="279" spans="5:5" x14ac:dyDescent="0.3">
      <c r="E279" s="9"/>
    </row>
    <row r="280" spans="5:5" x14ac:dyDescent="0.3">
      <c r="E280" s="9"/>
    </row>
    <row r="281" spans="5:5" x14ac:dyDescent="0.3">
      <c r="E281" s="9"/>
    </row>
    <row r="282" spans="5:5" x14ac:dyDescent="0.3">
      <c r="E282" s="9"/>
    </row>
    <row r="283" spans="5:5" x14ac:dyDescent="0.3">
      <c r="E283" s="9"/>
    </row>
    <row r="284" spans="5:5" x14ac:dyDescent="0.3">
      <c r="E284" s="9"/>
    </row>
    <row r="285" spans="5:5" x14ac:dyDescent="0.3">
      <c r="E285" s="9"/>
    </row>
    <row r="286" spans="5:5" x14ac:dyDescent="0.3">
      <c r="E286" s="9"/>
    </row>
    <row r="287" spans="5:5" x14ac:dyDescent="0.3">
      <c r="E287" s="9"/>
    </row>
    <row r="288" spans="5:5" x14ac:dyDescent="0.3">
      <c r="E288" s="9"/>
    </row>
    <row r="289" spans="5:5" x14ac:dyDescent="0.3">
      <c r="E289" s="9"/>
    </row>
    <row r="290" spans="5:5" x14ac:dyDescent="0.3">
      <c r="E290" s="9"/>
    </row>
    <row r="291" spans="5:5" x14ac:dyDescent="0.3">
      <c r="E291" s="9"/>
    </row>
    <row r="292" spans="5:5" x14ac:dyDescent="0.3">
      <c r="E292" s="9"/>
    </row>
    <row r="293" spans="5:5" x14ac:dyDescent="0.3">
      <c r="E293" s="9"/>
    </row>
    <row r="294" spans="5:5" x14ac:dyDescent="0.3">
      <c r="E294" s="9"/>
    </row>
    <row r="295" spans="5:5" x14ac:dyDescent="0.3">
      <c r="E295" s="9"/>
    </row>
    <row r="296" spans="5:5" x14ac:dyDescent="0.3">
      <c r="E296" s="9"/>
    </row>
    <row r="297" spans="5:5" x14ac:dyDescent="0.3">
      <c r="E297" s="9"/>
    </row>
    <row r="298" spans="5:5" x14ac:dyDescent="0.3">
      <c r="E298" s="9"/>
    </row>
    <row r="299" spans="5:5" x14ac:dyDescent="0.3">
      <c r="E299" s="9"/>
    </row>
    <row r="300" spans="5:5" x14ac:dyDescent="0.3">
      <c r="E300" s="9"/>
    </row>
    <row r="301" spans="5:5" x14ac:dyDescent="0.3">
      <c r="E301" s="9"/>
    </row>
    <row r="302" spans="5:5" x14ac:dyDescent="0.3">
      <c r="E302" s="9"/>
    </row>
    <row r="303" spans="5:5" x14ac:dyDescent="0.3">
      <c r="E303" s="9"/>
    </row>
    <row r="304" spans="5:5" x14ac:dyDescent="0.3">
      <c r="E304" s="9"/>
    </row>
    <row r="305" spans="5:5" x14ac:dyDescent="0.3">
      <c r="E305" s="9"/>
    </row>
    <row r="306" spans="5:5" x14ac:dyDescent="0.3">
      <c r="E306" s="9"/>
    </row>
    <row r="307" spans="5:5" x14ac:dyDescent="0.3">
      <c r="E307" s="9"/>
    </row>
    <row r="308" spans="5:5" x14ac:dyDescent="0.3">
      <c r="E308" s="9"/>
    </row>
    <row r="309" spans="5:5" x14ac:dyDescent="0.3">
      <c r="E309" s="9"/>
    </row>
    <row r="310" spans="5:5" x14ac:dyDescent="0.3">
      <c r="E310" s="9"/>
    </row>
    <row r="311" spans="5:5" x14ac:dyDescent="0.3">
      <c r="E311" s="9"/>
    </row>
    <row r="312" spans="5:5" x14ac:dyDescent="0.3">
      <c r="E312" s="9"/>
    </row>
    <row r="313" spans="5:5" x14ac:dyDescent="0.3">
      <c r="E313" s="9"/>
    </row>
    <row r="314" spans="5:5" x14ac:dyDescent="0.3">
      <c r="E314" s="9"/>
    </row>
    <row r="315" spans="5:5" x14ac:dyDescent="0.3">
      <c r="E315" s="9"/>
    </row>
    <row r="316" spans="5:5" x14ac:dyDescent="0.3">
      <c r="E316" s="9"/>
    </row>
    <row r="317" spans="5:5" x14ac:dyDescent="0.3">
      <c r="E317" s="9"/>
    </row>
    <row r="318" spans="5:5" x14ac:dyDescent="0.3">
      <c r="E318" s="9"/>
    </row>
    <row r="319" spans="5:5" x14ac:dyDescent="0.3">
      <c r="E319" s="9"/>
    </row>
    <row r="320" spans="5:5" x14ac:dyDescent="0.3">
      <c r="E320" s="9"/>
    </row>
    <row r="321" spans="5:5" x14ac:dyDescent="0.3">
      <c r="E321" s="9"/>
    </row>
    <row r="322" spans="5:5" x14ac:dyDescent="0.3">
      <c r="E322" s="9"/>
    </row>
    <row r="323" spans="5:5" x14ac:dyDescent="0.3">
      <c r="E323" s="9"/>
    </row>
  </sheetData>
  <phoneticPr fontId="36" type="noConversion"/>
  <conditionalFormatting sqref="L40">
    <cfRule type="containsText" dxfId="34" priority="92" operator="containsText" text="no">
      <formula>NOT(ISERROR(SEARCH("no",L40)))</formula>
    </cfRule>
  </conditionalFormatting>
  <conditionalFormatting sqref="S58">
    <cfRule type="cellIs" dxfId="33" priority="80" operator="greaterThan">
      <formula>33.4</formula>
    </cfRule>
    <cfRule type="cellIs" dxfId="32" priority="81" operator="greaterThan">
      <formula>16.6</formula>
    </cfRule>
  </conditionalFormatting>
  <conditionalFormatting sqref="I42:I43">
    <cfRule type="containsText" dxfId="31" priority="32" operator="containsText" text="f">
      <formula>NOT(ISERROR(SEARCH("f",I42)))</formula>
    </cfRule>
    <cfRule type="containsText" dxfId="30" priority="33" operator="containsText" text="e">
      <formula>NOT(ISERROR(SEARCH("e",I42)))</formula>
    </cfRule>
  </conditionalFormatting>
  <conditionalFormatting sqref="J42:S43">
    <cfRule type="containsText" dxfId="29" priority="28" operator="containsText" text="f">
      <formula>NOT(ISERROR(SEARCH("f",J42)))</formula>
    </cfRule>
    <cfRule type="containsText" dxfId="28" priority="29" operator="containsText" text="e">
      <formula>NOT(ISERROR(SEARCH("e",J42)))</formula>
    </cfRule>
  </conditionalFormatting>
  <conditionalFormatting sqref="I44">
    <cfRule type="containsText" dxfId="27" priority="30" operator="containsText" text="f">
      <formula>NOT(ISERROR(SEARCH("f",I44)))</formula>
    </cfRule>
    <cfRule type="containsText" dxfId="26" priority="31" operator="containsText" text="e">
      <formula>NOT(ISERROR(SEARCH("e",I44)))</formula>
    </cfRule>
  </conditionalFormatting>
  <conditionalFormatting sqref="J44:S44">
    <cfRule type="containsText" dxfId="25" priority="26" operator="containsText" text="f">
      <formula>NOT(ISERROR(SEARCH("f",J44)))</formula>
    </cfRule>
    <cfRule type="containsText" dxfId="24" priority="27" operator="containsText" text="e">
      <formula>NOT(ISERROR(SEARCH("e",J44)))</formula>
    </cfRule>
  </conditionalFormatting>
  <conditionalFormatting sqref="T58">
    <cfRule type="cellIs" dxfId="23" priority="23" operator="greaterThan">
      <formula>33.4</formula>
    </cfRule>
    <cfRule type="cellIs" dxfId="22" priority="24" operator="greaterThan">
      <formula>16.6</formula>
    </cfRule>
  </conditionalFormatting>
  <conditionalFormatting sqref="U58">
    <cfRule type="cellIs" dxfId="21" priority="21" operator="greaterThan">
      <formula>33.4</formula>
    </cfRule>
    <cfRule type="cellIs" dxfId="20" priority="22" operator="greaterThan">
      <formula>16.6</formula>
    </cfRule>
  </conditionalFormatting>
  <conditionalFormatting sqref="V58">
    <cfRule type="cellIs" dxfId="19" priority="19" operator="greaterThan">
      <formula>33.4</formula>
    </cfRule>
    <cfRule type="cellIs" dxfId="18" priority="20" operator="greaterThan">
      <formula>16.6</formula>
    </cfRule>
  </conditionalFormatting>
  <conditionalFormatting sqref="W58">
    <cfRule type="cellIs" dxfId="17" priority="17" operator="greaterThan">
      <formula>33.4</formula>
    </cfRule>
    <cfRule type="cellIs" dxfId="16" priority="18" operator="greaterThan">
      <formula>16.6</formula>
    </cfRule>
  </conditionalFormatting>
  <conditionalFormatting sqref="X58">
    <cfRule type="cellIs" dxfId="15" priority="15" operator="greaterThan">
      <formula>33.4</formula>
    </cfRule>
    <cfRule type="cellIs" dxfId="14" priority="16" operator="greaterThan">
      <formula>16.6</formula>
    </cfRule>
  </conditionalFormatting>
  <conditionalFormatting sqref="Y58">
    <cfRule type="cellIs" dxfId="13" priority="13" operator="greaterThan">
      <formula>33.4</formula>
    </cfRule>
    <cfRule type="cellIs" dxfId="12" priority="14" operator="greaterThan">
      <formula>16.6</formula>
    </cfRule>
  </conditionalFormatting>
  <conditionalFormatting sqref="Z58">
    <cfRule type="cellIs" dxfId="11" priority="11" operator="greaterThan">
      <formula>33.4</formula>
    </cfRule>
    <cfRule type="cellIs" dxfId="10" priority="12" operator="greaterThan">
      <formula>16.6</formula>
    </cfRule>
  </conditionalFormatting>
  <conditionalFormatting sqref="AA58">
    <cfRule type="cellIs" dxfId="9" priority="9" operator="greaterThan">
      <formula>33.4</formula>
    </cfRule>
    <cfRule type="cellIs" dxfId="8" priority="10" operator="greaterThan">
      <formula>16.6</formula>
    </cfRule>
  </conditionalFormatting>
  <conditionalFormatting sqref="AB58">
    <cfRule type="cellIs" dxfId="7" priority="7" operator="greaterThan">
      <formula>33.4</formula>
    </cfRule>
    <cfRule type="cellIs" dxfId="6" priority="8" operator="greaterThan">
      <formula>16.6</formula>
    </cfRule>
  </conditionalFormatting>
  <conditionalFormatting sqref="AC58">
    <cfRule type="cellIs" dxfId="5" priority="5" operator="greaterThan">
      <formula>33.4</formula>
    </cfRule>
    <cfRule type="cellIs" dxfId="4" priority="6" operator="greaterThan">
      <formula>16.6</formula>
    </cfRule>
  </conditionalFormatting>
  <conditionalFormatting sqref="AD41">
    <cfRule type="cellIs" dxfId="3" priority="4" operator="greaterThan">
      <formula>0</formula>
    </cfRule>
  </conditionalFormatting>
  <conditionalFormatting sqref="AD40">
    <cfRule type="cellIs" dxfId="2" priority="3" operator="greaterThan">
      <formula>0</formula>
    </cfRule>
  </conditionalFormatting>
  <conditionalFormatting sqref="AC40">
    <cfRule type="cellIs" dxfId="1" priority="2" operator="greaterThan">
      <formula>0</formula>
    </cfRule>
  </conditionalFormatting>
  <conditionalFormatting sqref="AC41">
    <cfRule type="cellIs" dxfId="0" priority="1" operator="greaterThan">
      <formula>0</formula>
    </cfRule>
  </conditionalFormatting>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Drop Down 1">
              <controlPr defaultSize="0" autoLine="0" autoPict="0">
                <anchor moveWithCells="1">
                  <from>
                    <xdr:col>5</xdr:col>
                    <xdr:colOff>525780</xdr:colOff>
                    <xdr:row>3</xdr:row>
                    <xdr:rowOff>83820</xdr:rowOff>
                  </from>
                  <to>
                    <xdr:col>9</xdr:col>
                    <xdr:colOff>152400</xdr:colOff>
                    <xdr:row>3</xdr:row>
                    <xdr:rowOff>312420</xdr:rowOff>
                  </to>
                </anchor>
              </controlPr>
            </control>
          </mc:Choice>
        </mc:AlternateContent>
        <mc:AlternateContent xmlns:mc="http://schemas.openxmlformats.org/markup-compatibility/2006">
          <mc:Choice Requires="x14">
            <control shapeId="38915" r:id="rId5" name="Drop Down 3">
              <controlPr locked="0" defaultSize="0" autoLine="0" autoPict="0">
                <anchor moveWithCells="1">
                  <from>
                    <xdr:col>5</xdr:col>
                    <xdr:colOff>533400</xdr:colOff>
                    <xdr:row>3</xdr:row>
                    <xdr:rowOff>373380</xdr:rowOff>
                  </from>
                  <to>
                    <xdr:col>9</xdr:col>
                    <xdr:colOff>137160</xdr:colOff>
                    <xdr:row>4</xdr:row>
                    <xdr:rowOff>182880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50</vt:i4>
      </vt:variant>
    </vt:vector>
  </HeadingPairs>
  <TitlesOfParts>
    <vt:vector size="55" baseType="lpstr">
      <vt:lpstr>README</vt:lpstr>
      <vt:lpstr>Table 1</vt:lpstr>
      <vt:lpstr>Table 2</vt:lpstr>
      <vt:lpstr>Table 3</vt:lpstr>
      <vt:lpstr>Table 4</vt:lpstr>
      <vt:lpstr>behaviour</vt:lpstr>
      <vt:lpstr>'Table 4'!behaviour2</vt:lpstr>
      <vt:lpstr>behaviour2</vt:lpstr>
      <vt:lpstr>'Table 4'!behaviour2value</vt:lpstr>
      <vt:lpstr>behaviour2value</vt:lpstr>
      <vt:lpstr>'Table 4'!behaviour2value2</vt:lpstr>
      <vt:lpstr>behaviour2value2</vt:lpstr>
      <vt:lpstr>behavioura</vt:lpstr>
      <vt:lpstr>'Table 2'!behaviouraz</vt:lpstr>
      <vt:lpstr>behaviourb</vt:lpstr>
      <vt:lpstr>'Table 2'!behaviourbz</vt:lpstr>
      <vt:lpstr>behaviourvaluea</vt:lpstr>
      <vt:lpstr>'Table 2'!behaviourvalueaz</vt:lpstr>
      <vt:lpstr>behaviourvalueb</vt:lpstr>
      <vt:lpstr>'Table 2'!behaviourvaluebz</vt:lpstr>
      <vt:lpstr>'Table 2'!behaviourz</vt:lpstr>
      <vt:lpstr>'Table 4'!Cycleb</vt:lpstr>
      <vt:lpstr>Cycleb</vt:lpstr>
      <vt:lpstr>'Table 4'!cyclevalue</vt:lpstr>
      <vt:lpstr>cyclevalue</vt:lpstr>
      <vt:lpstr>'Table 4'!cyclevalue2</vt:lpstr>
      <vt:lpstr>cyclevalue2</vt:lpstr>
      <vt:lpstr>population</vt:lpstr>
      <vt:lpstr>'Table 4'!population2</vt:lpstr>
      <vt:lpstr>population2</vt:lpstr>
      <vt:lpstr>'Table 4'!population2value</vt:lpstr>
      <vt:lpstr>population2value</vt:lpstr>
      <vt:lpstr>'Table 4'!population2value2</vt:lpstr>
      <vt:lpstr>population2value2</vt:lpstr>
      <vt:lpstr>'Table 2'!populationa</vt:lpstr>
      <vt:lpstr>populationa</vt:lpstr>
      <vt:lpstr>'Table 2'!populationb</vt:lpstr>
      <vt:lpstr>populationb</vt:lpstr>
      <vt:lpstr>'Table 2'!populationvaluea</vt:lpstr>
      <vt:lpstr>populationvaluea</vt:lpstr>
      <vt:lpstr>'Table 2'!populationvalueb</vt:lpstr>
      <vt:lpstr>populationvalueb</vt:lpstr>
      <vt:lpstr>'Table 2'!populationz</vt:lpstr>
      <vt:lpstr>province</vt:lpstr>
      <vt:lpstr>'Table 2'!Provincea</vt:lpstr>
      <vt:lpstr>Provincea</vt:lpstr>
      <vt:lpstr>'Table 2'!provinceb</vt:lpstr>
      <vt:lpstr>provinceb</vt:lpstr>
      <vt:lpstr>'Table 2'!provincevaluea</vt:lpstr>
      <vt:lpstr>provincevaluea</vt:lpstr>
      <vt:lpstr>'Table 2'!provincevalueb</vt:lpstr>
      <vt:lpstr>provincevalueb</vt:lpstr>
      <vt:lpstr>'Table 2'!provincez</vt:lpstr>
      <vt:lpstr>rangeprovince</vt:lpstr>
      <vt:lpstr>'Table 2'!rangeprovincez</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Cynthia</dc:creator>
  <cp:lastModifiedBy>Cynthia Callard</cp:lastModifiedBy>
  <dcterms:created xsi:type="dcterms:W3CDTF">2015-12-16T04:06:02Z</dcterms:created>
  <dcterms:modified xsi:type="dcterms:W3CDTF">2021-04-06T13:36:57Z</dcterms:modified>
</cp:coreProperties>
</file>